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80" windowHeight="597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ZA0" localSheetId="0">"Crystal Ball Data : Ver. 4.0.5"</definedName>
    <definedName name="ZA0A" localSheetId="0">156+260</definedName>
    <definedName name="ZA0C" localSheetId="0">10+168</definedName>
    <definedName name="ZA0D" localSheetId="0">0+0</definedName>
    <definedName name="ZA0F" localSheetId="0">34+134</definedName>
    <definedName name="ZA0T" localSheetId="0">211055276+0</definedName>
    <definedName name="ZA100" localSheetId="0">'Sheet1'!$G$7+"dG7"+16897+0.58+1</definedName>
    <definedName name="ZA101" localSheetId="0">'Sheet1'!$G$8+"dG8"+16897+0.67+1</definedName>
    <definedName name="ZA102" localSheetId="0">'Sheet1'!$G$9+"dG9"+16897+0.69+1</definedName>
    <definedName name="ZA103" localSheetId="0">'Sheet1'!$G$10+"dG10"+16897+0.08+1</definedName>
    <definedName name="ZA104" localSheetId="0">'Sheet1'!$G$11+"dG11"+16897+0.85+1</definedName>
    <definedName name="ZA105" localSheetId="0">'Sheet1'!$G$12+"dG12"+16897+0.36+1</definedName>
    <definedName name="ZA106" localSheetId="0">'Sheet1'!$G$13+"dG13"+16897+0.75+1</definedName>
    <definedName name="ZA107" localSheetId="0">'Sheet1'!$G$14+"dG14"+16897+0.63+1</definedName>
    <definedName name="ZA108" localSheetId="0">'Sheet1'!$G$15+"dG15"+16897+0.87+1</definedName>
    <definedName name="ZA109" localSheetId="0">'Sheet1'!$G$16+"dG16"+16897+0.3+1</definedName>
    <definedName name="ZA110" localSheetId="0">'Sheet1'!$G$17+"dG17"+16897+0.91+1</definedName>
    <definedName name="ZA111" localSheetId="0">'Sheet1'!$G$18+"dG18"+16897+0.73+1</definedName>
    <definedName name="ZA112" localSheetId="0">'Sheet1'!$G$19+"dG19"+16897+0.8+1</definedName>
    <definedName name="ZA113" localSheetId="0">'Sheet1'!$G$20+"dG20"+16897+0.71+1</definedName>
    <definedName name="ZA114" localSheetId="0">'Sheet1'!$G$21+"dG21"+16897+0.92+1</definedName>
    <definedName name="ZA115" localSheetId="0">'Sheet1'!$I$7+"lI7"+16385+448+0.42+1+1+3+1+3+3+3+0+3+0+8</definedName>
    <definedName name="ZA115AA" localSheetId="0">2+0.33+1+2+0.42+2+2+0.25+3+9</definedName>
    <definedName name="ZA116" localSheetId="0">'Sheet1'!$I$8+"lI8"+16385+448+0.93+1+1+2+1+2+2+3+0+2+0+8</definedName>
    <definedName name="ZA116AA" localSheetId="0">2+0.93+1+2+0.07+2+9</definedName>
    <definedName name="ZA117" localSheetId="0">'Sheet1'!$I$9+"lI9"+16385+448+0.62+1+1+3+1+3+3+3+0+3+0+8</definedName>
    <definedName name="ZA117AA" localSheetId="0">2+0.13+1+2+0.62+2+2+0.25+3+9</definedName>
    <definedName name="ZA118" localSheetId="0">'Sheet1'!$I$10+"lI10"+16385+448+0.57+1+1+3+1+3+3+3+0+3+0+8</definedName>
    <definedName name="ZA118AA" localSheetId="0">2+0.18+1+2+0.57+2+2+0.25+3+9</definedName>
    <definedName name="ZA119" localSheetId="0">'Sheet1'!$I$11+"lI11"+16385+448+0.68+1+1+3+1+3+3+3+0+3+0+8</definedName>
    <definedName name="ZA119AA" localSheetId="0">2+0.68+1+2+0.2+2+2+0.12+3+9</definedName>
    <definedName name="ZA120" localSheetId="0">'Sheet1'!$I$12+"lI12"+16385+448+0.49+1+1+3+1+3+3+3+0+3+0+8</definedName>
    <definedName name="ZA120AA" localSheetId="0">2+0.26+1+2+0.49+2+2+0.25+3+9</definedName>
    <definedName name="ZA121" localSheetId="0">'Sheet1'!$I$13+"lI13"+16385+448+0.73+1+1+3+1+3+3+3+0+3+0+8</definedName>
    <definedName name="ZA121AA" localSheetId="0">2+0.73+1+2+0.14+2+2+0.13+3+9</definedName>
    <definedName name="ZA122" localSheetId="0">'Sheet1'!$I$14+"lI14"+16385+448+0.57+1+1+3+1+3+3+3+0+3+0+8</definedName>
    <definedName name="ZA122AA" localSheetId="0">2+0.57+1+2+0.3+2+2+0.13+3+9</definedName>
    <definedName name="ZA123" localSheetId="0">'Sheet1'!$I$15+"lI15"+16385+448+0.88+1+1+3+1+3+3+3+0+3+0+8</definedName>
    <definedName name="ZA123AA" localSheetId="0">2+0.88+1+2+0.07+2+2+0.05+3+9</definedName>
    <definedName name="ZA124" localSheetId="0">'Sheet1'!$I$16+"lI16"+16385+448+0.59+1+1+3+1+3+3+3+0+3+0+8</definedName>
    <definedName name="ZA124AA" localSheetId="0">2+0.16+1+2+0.59+2+2+0.25+3+9</definedName>
    <definedName name="ZA125" localSheetId="0">'Sheet1'!$I$17+"lI17"+16385+448+0.52+1+1+3+1+3+3+3+0+3+0+8</definedName>
    <definedName name="ZA125AA" localSheetId="0">2+0.52+1+2+0.35+2+2+0.13+3+9</definedName>
    <definedName name="ZA126" localSheetId="0">'Sheet1'!$I$18+"lI18"+16385+448+0.55+1+1+3+1+3+3+3+0+3+0+8</definedName>
    <definedName name="ZA126AA" localSheetId="0">2+0.2+1+2+0.55+2+2+0.25+3+9</definedName>
    <definedName name="ZA127" localSheetId="0">'Sheet1'!$I$19+"lI19"+16385+448+0.92+1+1+2+1+2+2+3+0+2+0+8</definedName>
    <definedName name="ZA127AA" localSheetId="0">2+0.92+1+2+0.08+2+9</definedName>
    <definedName name="ZA128" localSheetId="0">'Sheet1'!$I$20+"lI20"+16385+448+0.79+1+1+3+1+3+3+3+0+3+0+8</definedName>
    <definedName name="ZA128AA" localSheetId="0">2+0.79+1+2+0.16+2+2+0.05+3+9</definedName>
    <definedName name="ZA129" localSheetId="0">'Sheet1'!$I$21+"lI21"+16385+448+0.84+1+1+3+1+3+3+3+0+3+0+8</definedName>
    <definedName name="ZA129AA" localSheetId="0">2+0.84+1+2+0.11+2+2+0.05+3+9</definedName>
    <definedName name="ZA130" localSheetId="0">'Sheet1'!$K$7+"bK7"+16897+0+0.81+1</definedName>
    <definedName name="ZA131" localSheetId="0">'Sheet1'!$K$8+"EAK8"+16897+0.416710188282447+0.0416710188282447+0+1</definedName>
    <definedName name="ZA132" localSheetId="0">'Sheet1'!$K$9+"bK9"+16897+0+0.1+1</definedName>
    <definedName name="ZA133" localSheetId="0">'Sheet1'!$K$10+"bK10"+16897+0+0.15+1</definedName>
    <definedName name="ZA134" localSheetId="0">'Sheet1'!$K$11+"bK11"+16897+0+0.7+1</definedName>
    <definedName name="ZA135" localSheetId="0">'Sheet1'!$K$12+"bK12"+16897+0+0.3+1</definedName>
    <definedName name="ZA136" localSheetId="0">'Sheet1'!$K$13+"bK13"+16897+0+0.75+1</definedName>
    <definedName name="ZA137" localSheetId="0">'Sheet1'!$K$14+"bK14"+16897+0+0.5+1</definedName>
    <definedName name="ZA138" localSheetId="0">'Sheet1'!$K$15+"bK15"+16897+0+0.9+1</definedName>
    <definedName name="ZA139" localSheetId="0">'Sheet1'!$K$16+"bK16"+16897+0+0.2+1</definedName>
    <definedName name="ZA140" localSheetId="0">'Sheet1'!$K$17+"bK17"+16897+0+0.5+1</definedName>
    <definedName name="ZA141" localSheetId="0">'Sheet1'!$K$18+"bK18"+16897+0+0.5+1</definedName>
    <definedName name="ZA142" localSheetId="0">'Sheet1'!$K$19+"aK19"+16897+0.5+0.05</definedName>
    <definedName name="ZA143" localSheetId="0">'Sheet1'!$K$20+"bK20"+16897+0+0.2+1</definedName>
    <definedName name="ZA144" localSheetId="0">'Sheet1'!$K$21+"bK21"+16897+0+0.15+1</definedName>
    <definedName name="ZA145" localSheetId="0">'Sheet1'!$M$7+"bM7"+16417+1438+1691+1818</definedName>
    <definedName name="ZA146" localSheetId="0">'Sheet1'!$M$8+"bM8"+16417+687+706+797</definedName>
    <definedName name="ZA147" localSheetId="0">'Sheet1'!$M$9+"eAM9"+16417+540+282</definedName>
    <definedName name="ZA148" localSheetId="0">'Sheet1'!$M$10+"eAM10"+16417+1623+1467</definedName>
    <definedName name="ZA149" localSheetId="0">'Sheet1'!$M$11+"bM11"+16417+1654+1811+1830</definedName>
    <definedName name="ZA150" localSheetId="0">'Sheet1'!$M$12+"eAM12"+16417+1074+614</definedName>
    <definedName name="ZA151" localSheetId="0">'Sheet1'!$M$13+"bM13"+16417+711+816+1372</definedName>
    <definedName name="ZA152" localSheetId="0">'Sheet1'!$M$14+"bM14"+16417+1306+1407+1568</definedName>
    <definedName name="ZA153" localSheetId="0">'Sheet1'!$M$15+"bM15"+16417+420+1331+1580</definedName>
    <definedName name="ZA154" localSheetId="0">'Sheet1'!$M$16+"eAM16"+16417+1459+1244</definedName>
    <definedName name="ZA155" localSheetId="0">'Sheet1'!$M$17+"eAM17"+16417+1559+931</definedName>
    <definedName name="ZA156" localSheetId="0">'Sheet1'!$M$18+"eAM18"+16417+1608+1535</definedName>
    <definedName name="ZA157" localSheetId="0">'Sheet1'!$M$19+"bM19"+16417+400+764.969151781906+1558</definedName>
    <definedName name="ZA158" localSheetId="0">'Sheet1'!$M$20+"eAM20"+16417+817+759</definedName>
    <definedName name="ZA159" localSheetId="0">'Sheet1'!$M$21+"EAM21"+16417+278+27.8+259+913</definedName>
    <definedName name="ZA160" localSheetId="0">'Sheet1'!$O$7+"bO7"+16929+61+139+148</definedName>
    <definedName name="ZA161" localSheetId="0">'Sheet1'!$O$8+"bO8"+16929+30+40+65</definedName>
    <definedName name="ZA162" localSheetId="0">'Sheet1'!$O$9+"BO9"+16417+80+95+154+58.578947368421+346.78947368421</definedName>
    <definedName name="ZA163" localSheetId="0">'Sheet1'!$O$10+"bO10"+16417+67+77+110</definedName>
    <definedName name="ZA164" localSheetId="0">'Sheet1'!$O$11+"bO11"+16417+71+134.568258749777+169</definedName>
    <definedName name="ZA165" localSheetId="0">'Sheet1'!$O$12+"eAO12"+16417+71+42</definedName>
    <definedName name="ZA166" localSheetId="0">'Sheet1'!$O$13+"eAO13"+16417+44+33</definedName>
    <definedName name="ZA167" localSheetId="0">'Sheet1'!$O$14+"BO14"+16417+38+103+123+-187.703883495145+163.02427184466</definedName>
    <definedName name="ZA168" localSheetId="0">'Sheet1'!$O$15+"bO15"+16417+27+41+129</definedName>
    <definedName name="ZA169" localSheetId="0">'Sheet1'!$O$16+"eAO16"+16417+81+30</definedName>
    <definedName name="ZA170" localSheetId="0">'Sheet1'!$O$17+"bO17"+16417+32+112.958562899176+153</definedName>
    <definedName name="ZA171" localSheetId="0">'Sheet1'!$O$18+"eAO18"+16417+38+25</definedName>
    <definedName name="ZA172" localSheetId="0">'Sheet1'!$O$19+"bO19"+16417+126+146+150</definedName>
    <definedName name="ZA173" localSheetId="0">'Sheet1'!$O$20+"bO20"+16417+70+89+122</definedName>
    <definedName name="ZA174" localSheetId="0">'Sheet1'!$O$21+"eAO21"+16417+84+35</definedName>
    <definedName name="ZA175" localSheetId="0">'Sheet1'!$Q$7+"bQ7"+16417+178+242+301</definedName>
    <definedName name="ZA176" localSheetId="0">'Sheet1'!$Q$8+"bQ8"+16417+214+246+359</definedName>
    <definedName name="ZA177" localSheetId="0">'Sheet1'!$Q$9+"bQ9"+16417+89+298+328</definedName>
    <definedName name="ZA178" localSheetId="0">'Sheet1'!$Q$10+"bQ10"+16417+91+118+133</definedName>
    <definedName name="ZA179" localSheetId="0">'Sheet1'!$Q$11+"bQ11"+16417+171+224.957911906308+294</definedName>
    <definedName name="ZA180" localSheetId="0">'Sheet1'!$Q$12+"bQ12"+16417+242+351+356</definedName>
    <definedName name="ZA181" localSheetId="0">'Sheet1'!$Q$13+"bQ13"+16417+65+83.1660154434414+385</definedName>
    <definedName name="ZA182" localSheetId="0">'Sheet1'!$Q$14+"bQ14"+16417+60+288+338</definedName>
    <definedName name="ZA183" localSheetId="0">'Sheet1'!$Q$15+"bQ15"+16417+344+356+399</definedName>
    <definedName name="ZA184" localSheetId="0">'Sheet1'!$Q$16+"eAQ16"+16417+317+304</definedName>
    <definedName name="ZA185" localSheetId="0">'Sheet1'!$Q$17+"bQ17"+16417+283+326+328</definedName>
    <definedName name="ZA186" localSheetId="0">'Sheet1'!$Q$18+"bQ18"+16417+218+220+352</definedName>
    <definedName name="ZA187" localSheetId="0">'Sheet1'!$Q$19+"eAQ19"+16417+231+197</definedName>
    <definedName name="ZA188" localSheetId="0">'Sheet1'!$Q$20+"bQ20"+16417+100+123+199</definedName>
    <definedName name="ZA189" localSheetId="0">'Sheet1'!$Q$21+"bQ21"+16417+92+123.061807366518+254</definedName>
    <definedName name="ZA190" localSheetId="0">'Sheet1'!$S$7+"bS7"+16673+92.1+120.8+126.359075734774</definedName>
    <definedName name="ZA191" localSheetId="0">'Sheet1'!$S$8+"eAS8"+16673+71.2+52.2</definedName>
    <definedName name="ZA192" localSheetId="0">'Sheet1'!$S$9+"bS9"+16673+35.6+47.7+57.2</definedName>
    <definedName name="ZA193" localSheetId="0">'Sheet1'!$S$10+"bS10"+16673+49.3+80.4+116.7</definedName>
    <definedName name="ZA194" localSheetId="0">'Sheet1'!$S$11+"eAS11"+16673+79+67.8</definedName>
    <definedName name="ZA195" localSheetId="0">'Sheet1'!$S$12+"eAS12"+16673+68.7999999999999+60.9</definedName>
    <definedName name="ZA196" localSheetId="0">'Sheet1'!$S$13+"bS13"+16673+18.3+65.2999999999999+78.4</definedName>
    <definedName name="ZA197" localSheetId="0">'Sheet1'!$S$14+"bS14"+16673+43.3+62.3025872288709+108.3</definedName>
    <definedName name="ZA198" localSheetId="0">'Sheet1'!$S$15+"eAS15"+16673+100.099999999999+27.2</definedName>
    <definedName name="ZA199" localSheetId="0">'Sheet1'!$S$16+"bS16"+16673+20+67+88</definedName>
    <definedName name="ZA200" localSheetId="0">'Sheet1'!$S$17+"bS17"+16673+23.3+63.9964931556184+110.3</definedName>
    <definedName name="ZA201" localSheetId="0">'Sheet1'!$S$18+"bS18"+16673+31.2+36.5+48.6</definedName>
    <definedName name="ZA202" localSheetId="0">'Sheet1'!$S$19+"bS19"+16673+35.3+74.5+80.2</definedName>
    <definedName name="ZA203" localSheetId="0">'Sheet1'!$S$20+"bS20"+16673+16.7+82.9+107.7</definedName>
    <definedName name="ZA204" localSheetId="0">'Sheet1'!$S$21+"EAS21"+16673+75.2+7.52+49.9+107.7</definedName>
    <definedName name="ZA205" localSheetId="0">'Sheet1'!$U$7+"eAU7"+16417+117+91</definedName>
    <definedName name="ZA206" localSheetId="0">'Sheet1'!$U$8+"bU8"+16417+253+261+443</definedName>
    <definedName name="ZA207" localSheetId="0">'Sheet1'!$U$9+"bU9"+16417+265+282+364</definedName>
    <definedName name="ZA208" localSheetId="0">'Sheet1'!$U$10+"bU10"+16417+119+200.003456880272+326</definedName>
    <definedName name="ZA209" localSheetId="0">'Sheet1'!$U$11+"bU11"+16417+344+364+492</definedName>
    <definedName name="ZA210" localSheetId="0">'Sheet1'!$U$12+"bU12"+16417+140+391+403</definedName>
    <definedName name="ZA211" localSheetId="0">'Sheet1'!$U$13+"bU13"+16417+317+363+577</definedName>
    <definedName name="ZA212" localSheetId="0">'Sheet1'!$U$14+"bU14"+16417+298+463+563</definedName>
    <definedName name="ZA213" localSheetId="0">'Sheet1'!$U$15+"bU15"+16417+191+515+554</definedName>
    <definedName name="ZA214" localSheetId="0">'Sheet1'!$U$16+"bU16"+16417+243+461+515</definedName>
    <definedName name="ZA215" localSheetId="0">'Sheet1'!$U$17+"bU17"+16417+171+225.213998963047+340</definedName>
    <definedName name="ZA216" localSheetId="0">'Sheet1'!$U$18+"bU18"+16417+213+250+254</definedName>
    <definedName name="ZA217" localSheetId="0">'Sheet1'!$U$19+"eAU19"+16417+419+135</definedName>
    <definedName name="ZA218" localSheetId="0">'Sheet1'!$U$20+"bU20"+16417+119+318+417</definedName>
    <definedName name="ZA219" localSheetId="0">'Sheet1'!$U$21+"bU21"+16417+138+494+540</definedName>
    <definedName name="ZA220" localSheetId="0">'Sheet1'!$W$7+"eAW7"+16417+493+451</definedName>
    <definedName name="ZA221" localSheetId="0">'Sheet1'!$W$8+"eAW8"+16417+1151.08983536687+623</definedName>
    <definedName name="ZA222" localSheetId="0">'Sheet1'!$W$9+"eAW9"+16417+985+629</definedName>
    <definedName name="ZA223" localSheetId="0">'Sheet1'!$W$10+"bW10"+16417+671+1148+1400</definedName>
    <definedName name="ZA224" localSheetId="0">'Sheet1'!$W$11+"bW11"+16417+524+651+1359</definedName>
    <definedName name="ZA225" localSheetId="0">'Sheet1'!$W$12+"eAW12"+16417+847+792</definedName>
    <definedName name="ZA226" localSheetId="0">'Sheet1'!$W$13+"bW13"+16417+589+635+1015</definedName>
    <definedName name="ZA227" localSheetId="0">'Sheet1'!$W$14+"bW14"+16417+608+808+1171</definedName>
    <definedName name="ZA228" localSheetId="0">'Sheet1'!$W$15+"eAW15"+16417+708+660</definedName>
    <definedName name="ZA229" localSheetId="0">'Sheet1'!$W$16+"bW16"+16417+824+861+991</definedName>
    <definedName name="ZA230" localSheetId="0">'Sheet1'!$W$17+"eAW17"+16417+1296+769</definedName>
    <definedName name="ZA231" localSheetId="0">'Sheet1'!$W$18+"eAW18"+16417+1293+444</definedName>
    <definedName name="ZA232" localSheetId="0">'Sheet1'!$W$19+"bW19"+16417+472+1150+1261</definedName>
    <definedName name="ZA233" localSheetId="0">'Sheet1'!$W$20+"bW20"+16417+658+997+1181</definedName>
    <definedName name="ZA234" localSheetId="0">'Sheet1'!$W$21+"bW21"+16417+594+815+1110</definedName>
    <definedName name="ZA235" localSheetId="0">'Sheet1'!$AX$45+"bAX45"+16417+7330+7800+8320</definedName>
    <definedName name="ZA236" localSheetId="0">'Sheet1'!$AX$47+"bAX47"+16417+5200+5700+6200</definedName>
    <definedName name="ZA237" localSheetId="0">'Sheet1'!$AX$49+"bAX49"+16417+5870+6250+6660</definedName>
    <definedName name="ZA238" localSheetId="0">'Sheet1'!$AX$51+"bAX51"+16417+1040+1140+1240</definedName>
    <definedName name="ZA239" localSheetId="0">'Sheet1'!$AX$53+"bAX53"+16929+0.675+0.75+0.825</definedName>
    <definedName name="ZA240" localSheetId="0">'Sheet1'!$AX$55+"bAX55"+16929+0.207+0.23+0.253</definedName>
    <definedName name="ZA241" localSheetId="0">'Sheet1'!$AW$60+"bOil Gravity (degrees API):"+289+29.5+30.2+30.9</definedName>
    <definedName name="ZA242" localSheetId="0">'Sheet1'!$AW$62+"bGas Quality (BTU/mcf):"+33+900+1000+1100</definedName>
    <definedName name="ZA243" localSheetId="0">'Sheet1'!$AZ$6+"bInitial Oil Price ($/bbl):"+545+15.91+21.68+27.78</definedName>
    <definedName name="ZA246" localSheetId="0">'Sheet1'!$AZ$10+"bReal Oil Price Growth Rate 2:"+517+0+0.018+0.021</definedName>
    <definedName name="ZA248" localSheetId="0">'Sheet1'!$AZ$13+"bReal Oil Price Growth Rate 3:"+517+0+0.007+0.008</definedName>
    <definedName name="ZA249" localSheetId="0">'Sheet1'!$AZ$32+"bInitial Gas Price ($/mcf):"+545+2.15+2.32+2.49</definedName>
    <definedName name="ZA250" localSheetId="0">'Sheet1'!$AZ$33+"bReal Gas Price Growth Rate 1:"+517+0.008+0.009+0.01</definedName>
    <definedName name="ZA252" localSheetId="0">'Sheet1'!$AZ$36+"bReal Gas Price Growth Rate 2:"+517+0.009+0.012+0.013</definedName>
    <definedName name="ZA254" localSheetId="0">'Sheet1'!$AZ$39+"bReal Gas Price Growth Rate 3:"+517+0+0.006+0.013</definedName>
    <definedName name="ZA255" localSheetId="0">'Sheet1'!$BB$7+"fCAPEX Confidence Factors:"+517+-0.02+"?"+0.03</definedName>
    <definedName name="ZA256" localSheetId="0">'Sheet1'!$BC$7+"fBC7"+16901+-0.05+"?"+0.05</definedName>
    <definedName name="ZA257" localSheetId="0">'Sheet1'!$BD$7+"fBD7"+16901+-0.07+"?"+0.1</definedName>
    <definedName name="ZA258" localSheetId="0">'Sheet1'!$CB$11+"AMBOE"+8225+'Sheet1'!$CB$4+0+2642136.19518301+'Sheet1'!$CB$10+0+408266.281026868+'Sheet1'!$AW$24+0+13785+'Sheet1'!$AW$26+0+161507</definedName>
    <definedName name="ZA259" localSheetId="0">'Sheet1'!$CB$15+"AFraction"+8961+'Sheet1'!$CB$5+0+0.836336434040426+'Sheet1'!$CB$14+0+0.00263586065650583+'Sheet1'!$AX$24+0+0.8235824+'Sheet1'!$AX$26+0+0.8497943</definedName>
    <definedName name="ZA260" localSheetId="0">'Sheet1'!$AZ$7+"bReal Oil Price Growth Rate 1:"+517+-0.027+-0.026+-0.02</definedName>
    <definedName name="ZC101" localSheetId="0">'Sheet1'!$G$8+'Sheet1'!$G$7+0+0.85</definedName>
    <definedName name="ZC103" localSheetId="0">'Sheet1'!$G$13+'Sheet1'!$G$14+0+-0.87</definedName>
    <definedName name="ZC108" localSheetId="0">'Sheet1'!$G$17+'Sheet1'!$G$18+0+0.53</definedName>
    <definedName name="ZC109" localSheetId="0">'Sheet1'!$G$17+'Sheet1'!$G$19+0+0.87</definedName>
    <definedName name="ZC110" localSheetId="0">'Sheet1'!$G$17+'Sheet1'!$G$20+0+0.73</definedName>
    <definedName name="ZC111" localSheetId="0">'Sheet1'!$G$17+'Sheet1'!$G$21+0+0.62</definedName>
    <definedName name="ZC165" localSheetId="0">'Sheet1'!$AZ$39+'Sheet1'!$AZ$13+0+1</definedName>
    <definedName name="ZC166" localSheetId="0">'Sheet1'!$AZ$32+'Sheet1'!$AZ$6+0+1</definedName>
    <definedName name="ZC167" localSheetId="0">'Sheet1'!$AZ$33+'Sheet1'!$AZ$7+0+1</definedName>
    <definedName name="ZC168" localSheetId="0">'Sheet1'!$AZ$36+'Sheet1'!$AZ$10+0+1</definedName>
    <definedName name="ZF100" localSheetId="0">'Sheet1'!$AT$4+"Gross Reservoir Volume (acre-feet)"+""+33+33+410+72+40+357+499+4+3+"-"+"+"+2.6+50+258</definedName>
    <definedName name="ZF101" localSheetId="0">'Sheet1'!$AT$6+"Oil Recovery (bbl/acre-foot)"+""+289+289+442+87+62+372+521+4+3+"-"+"+"+2.6+50+2</definedName>
    <definedName name="ZF102" localSheetId="0">'Sheet1'!$AT$8+"Gas Recovery (mcf/acre-foot)"+""+289+289+442+102+84+387+543+4+3+"-"+"+"+2.6+50+2</definedName>
    <definedName name="ZF103" localSheetId="0">'Sheet1'!$AT$10+"Probability That Entire Field is Dry"+""+5+5+442+117+106+402+565+4+3+"-"+"+"+2.6+50+2</definedName>
    <definedName name="ZF104" localSheetId="0">'Sheet1'!$AT$12+"Oil from All Oil Reservoirs (Mbbl)"+""+33+33+442+132+128+417+587+4+3+"-"+"+"+2.6+50+2</definedName>
    <definedName name="ZF105" localSheetId="0">'Sheet1'!$AT$14+"Associated Gas from All  Oil Res (MMCF)"+""+33+33+442+147+150+432+609+4+3+"-"+"+"+2.6+50+2</definedName>
    <definedName name="ZF106" localSheetId="0">'Sheet1'!$AT$16+"Gas from All Gas Reservoirs (MMcf)"+""+33+33+442+162+172+447+631+4+3+"-"+"+"+2.6+50+2</definedName>
    <definedName name="ZF107" localSheetId="0">'Sheet1'!$AT$18+"Condensate from All Gas Res (Mbbl)"+""+33+33+442+177+194+462+653+4+3+"-"+"+"+2.6+50+2</definedName>
    <definedName name="ZF108" localSheetId="0">'Sheet1'!$AT$20+"Oil from All O&amp;G Reservoirs (Mbbl)"+""+33+33+442+192+216+477+675+4+3+"-"+"+"+2.6+50+2</definedName>
    <definedName name="ZF109" localSheetId="0">'Sheet1'!$AT$22+"Associated Gas from All O&amp;Gas Res (MMcf)"+""+33+33+442+207+238+492+697+4+3+"-"+"+"+2.6+50+2</definedName>
    <definedName name="ZF110" localSheetId="0">'Sheet1'!$AT$24+"Gas from All O&amp;G Reservoirs (MMcf)"+""+33+33+442+222+260+507+719+4+3+"-"+"+"+2.6+50+2</definedName>
    <definedName name="ZF111" localSheetId="0">'Sheet1'!$AT$26+"Condensate from All O&amp;G Res (Mbbl)"+""+33+33+442+237+282+522+741+4+3+"-"+"+"+2.6+50+2</definedName>
    <definedName name="ZF112" localSheetId="0">'Sheet1'!$AT$28+"Total of Oil and Condensate (Mbbl)"+""+33+33+442+252+304+537+763+4+3+"-"+"+"+2.6+50+2</definedName>
    <definedName name="ZF113" localSheetId="0">'Sheet1'!$AT$30+"Total of Gas and Associated Gas (MMcf)"+""+33+33+442+57+326+342+785+4+3+"-"+"+"+2.6+50+2</definedName>
    <definedName name="ZF114" localSheetId="0">'Sheet1'!$AT$32+"Total of All Resources (MBOE)"+""+33+33+442+72+348+357+807+4+3+"-"+"+"+2.6+50+2</definedName>
    <definedName name="ZF115" localSheetId="0">'Sheet1'!$AT$34+"Resources Oil Fraction"+""+801+801+442+91+331+376+790+4+3+"-"+"+"+2.6+50+2</definedName>
    <definedName name="ZF116" localSheetId="0">'Sheet1'!$DI$4+"Total Field Reserves (MBOE)"+""+33+33+442+72+40+357+499+4+3+"-"+"+"+2.6+50+2</definedName>
    <definedName name="ZF117" localSheetId="0">'Sheet1'!$DI$6+"Resource/Reserves Difference (MBOE)"+""+33+33+442+111+333+396+792+4+3+"-"+"+"+2.6+50+2</definedName>
    <definedName name="ZF118" localSheetId="0">'Sheet1'!$DI$8+"Reserves Oil Fraction"+""+1025+1025+442+126+339+411+798+4+3+"-"+"+"+2.6+50+2</definedName>
    <definedName name="ZF119" localSheetId="0">'Sheet1'!$DI$10+"Oil Fraction Difference"+""+1025+1025+442+144+339+429+798+4+3+"-"+"+"+2.6+50+2</definedName>
    <definedName name="ZF120" localSheetId="0">'Sheet1'!$DI$16+"Capital Expenses and Well Costs (M$)"+""+33+33+442+157+336+442+795+4+3+"-"+"+"+2.6+50+2</definedName>
    <definedName name="ZF121" localSheetId="0">'Sheet1'!$DI$18+"Operating and Transpo. Costs ($/BOE)"+""+545+545+442+169+334+454+793+4+3+"-"+"+"+2.6+50+2</definedName>
    <definedName name="ZF122" localSheetId="0">'Sheet1'!$DI$20+"Salvage Value (M$)"+""+33+33+442+184+337+469+796+4+3+"-"+"+"+2.6+50+2</definedName>
    <definedName name="ZF123" localSheetId="0">'Sheet1'!$DI$22+"Abandonment Cost (M$)"+""+33+33+442+212+337+497+796+4+3+"-"+"+"+2.6+50+2</definedName>
    <definedName name="ZF124" localSheetId="0">'Sheet1'!$DI$12+"Starting Oil Price ($/bbl)"+""+545+545+442+246+330+531+789+4+3+"-"+"+"+2.6+50+2</definedName>
    <definedName name="ZF125" localSheetId="0">'Sheet1'!$DI$14+"Starting Gas Price ($/mcf)"+""+545+545+442+235+328+520+787+4+3+"-"+"+"+2.6+50+2</definedName>
    <definedName name="ZF126" localSheetId="0">'Sheet1'!$DK$4+"Fraction of First Year Costs to All Cost"+""+517+517+442+247+326+532+785+4+3+"-"+"+"+2.6+50+2</definedName>
    <definedName name="ZF127" localSheetId="0">'Sheet1'!$DK$8+"Fraction of All Scenario Trials"+""+801+33+186+57+18+342+477+4+3+"-"+"+"+2.6+50+2</definedName>
    <definedName name="ZF128" localSheetId="0">'Sheet1'!$DK$10+"Fraction of All Scenario Non-""0"" Trials"+""+801+0+186+72+40+357+499+4+3+"-"+"+"+2.6+50+2</definedName>
    <definedName name="ZF129" localSheetId="0">'Sheet1'!$DK$6+"Fraction of M.L. Scenario Trials"+""+801+33+186+87+62+372+521+4+3+"-"+"+"+2.6+50+2</definedName>
    <definedName name="ZF130" localSheetId="0">'Sheet1'!$DK$12+"Total Project Capital Expenses (M$)"+""+33+33+442+269+184+554+643+4+3+"-"+"+"+2.6+50+2</definedName>
    <definedName name="ZF131" localSheetId="0">'Sheet1'!$DI$24+"NPV Using All Trials (M$)"+""+33+33+442+36+166+321+625+4+3+"-"+"+"+2.6+50+2</definedName>
    <definedName name="ZF132" localSheetId="0">'Sheet1'!$DI$26+"Royalties and Sunk Costs (M$)"+""+33+33+442+87+62+372+521+4+3+"-"+"+"+2.6+50+2</definedName>
    <definedName name="ZF134" localSheetId="0">'Sheet1'!$DI$28+"Prospective NPV of the Field (M$)"+""+33+33+443+165+27+450+486+4+3+"-"+"+"+2.6+50+2</definedName>
  </definedNames>
  <calcPr fullCalcOnLoad="1"/>
</workbook>
</file>

<file path=xl/comments1.xml><?xml version="1.0" encoding="utf-8"?>
<comments xmlns="http://schemas.openxmlformats.org/spreadsheetml/2006/main">
  <authors>
    <author>A satisfied Microsoft Office user</author>
  </authors>
  <commentList>
    <comment ref="CB18" authorId="0">
      <text>
        <r>
          <rPr>
            <sz val="8"/>
            <rFont val="Tahoma"/>
            <family val="0"/>
          </rPr>
          <t>Formula failed to convert</t>
        </r>
      </text>
    </comment>
    <comment ref="CB20" authorId="0">
      <text>
        <r>
          <rPr>
            <sz val="8"/>
            <rFont val="Tahoma"/>
            <family val="0"/>
          </rPr>
          <t>Formula failed to convert</t>
        </r>
      </text>
    </comment>
    <comment ref="CB21" authorId="0">
      <text>
        <r>
          <rPr>
            <sz val="8"/>
            <rFont val="Tahoma"/>
            <family val="0"/>
          </rPr>
          <t>Formula failed to convert</t>
        </r>
      </text>
    </comment>
    <comment ref="CB22" authorId="0">
      <text>
        <r>
          <rPr>
            <sz val="8"/>
            <rFont val="Tahoma"/>
            <family val="0"/>
          </rPr>
          <t>Formula failed to convert</t>
        </r>
      </text>
    </comment>
    <comment ref="CB23" authorId="0">
      <text>
        <r>
          <rPr>
            <sz val="8"/>
            <rFont val="Tahoma"/>
            <family val="0"/>
          </rPr>
          <t>Formula failed to convert</t>
        </r>
      </text>
    </comment>
    <comment ref="CB26" authorId="0">
      <text>
        <r>
          <rPr>
            <sz val="8"/>
            <rFont val="Tahoma"/>
            <family val="0"/>
          </rPr>
          <t>Formula failed to convert</t>
        </r>
      </text>
    </comment>
    <comment ref="CB27" authorId="0">
      <text>
        <r>
          <rPr>
            <sz val="8"/>
            <rFont val="Tahoma"/>
            <family val="0"/>
          </rPr>
          <t>Formula failed to convert</t>
        </r>
      </text>
    </comment>
    <comment ref="CB37" authorId="0">
      <text>
        <r>
          <rPr>
            <sz val="8"/>
            <rFont val="Tahoma"/>
            <family val="0"/>
          </rPr>
          <t>Formula failed to convert</t>
        </r>
      </text>
    </comment>
    <comment ref="CB38" authorId="0">
      <text>
        <r>
          <rPr>
            <sz val="8"/>
            <rFont val="Tahoma"/>
            <family val="0"/>
          </rPr>
          <t>Formula failed to convert</t>
        </r>
      </text>
    </comment>
    <comment ref="CB39" authorId="0">
      <text>
        <r>
          <rPr>
            <sz val="8"/>
            <rFont val="Tahoma"/>
            <family val="0"/>
          </rPr>
          <t>Formula failed to convert</t>
        </r>
      </text>
    </comment>
    <comment ref="CB44" authorId="0">
      <text>
        <r>
          <rPr>
            <sz val="8"/>
            <rFont val="Tahoma"/>
            <family val="0"/>
          </rPr>
          <t>Formula failed to convert</t>
        </r>
      </text>
    </comment>
    <comment ref="CB46" authorId="0">
      <text>
        <r>
          <rPr>
            <sz val="8"/>
            <rFont val="Tahoma"/>
            <family val="0"/>
          </rPr>
          <t>Formula failed to convert</t>
        </r>
      </text>
    </comment>
    <comment ref="CB49" authorId="0">
      <text>
        <r>
          <rPr>
            <sz val="8"/>
            <rFont val="Tahoma"/>
            <family val="0"/>
          </rPr>
          <t>Formula failed to convert</t>
        </r>
      </text>
    </comment>
    <comment ref="CB50" authorId="0">
      <text>
        <r>
          <rPr>
            <sz val="8"/>
            <rFont val="Tahoma"/>
            <family val="0"/>
          </rPr>
          <t>Formula failed to convert</t>
        </r>
      </text>
    </comment>
    <comment ref="CB53" authorId="0">
      <text>
        <r>
          <rPr>
            <sz val="8"/>
            <rFont val="Tahoma"/>
            <family val="0"/>
          </rPr>
          <t>Formula failed to convert</t>
        </r>
      </text>
    </comment>
    <comment ref="CB54" authorId="0">
      <text>
        <r>
          <rPr>
            <sz val="8"/>
            <rFont val="Tahoma"/>
            <family val="0"/>
          </rPr>
          <t>Formula failed to convert</t>
        </r>
      </text>
    </comment>
  </commentList>
</comments>
</file>

<file path=xl/sharedStrings.xml><?xml version="1.0" encoding="utf-8"?>
<sst xmlns="http://schemas.openxmlformats.org/spreadsheetml/2006/main" count="491" uniqueCount="331">
  <si>
    <t>Resource Module Assumption Distributions for Probabilites that the Reservoirs are Wet</t>
  </si>
  <si>
    <t>Resource Module Assumption Distributions for Oil, Gas, or Both Probabilites</t>
  </si>
  <si>
    <t>Resource Module Assumption Distributions for Proportion of Oil and Gas if Both</t>
  </si>
  <si>
    <t>Resource Module Assumption Distributions for GOR</t>
  </si>
  <si>
    <t>Resource Module Assumption Distributions for Yield</t>
  </si>
  <si>
    <t>Resource Module Assumption Distributions for Acres</t>
  </si>
  <si>
    <t>Resource Module Assumption Distributions for Net Pay</t>
  </si>
  <si>
    <t>Resource Module Assumption Distributions for Oil Recovery</t>
  </si>
  <si>
    <t>Resource Module Assumption Distributions for Gas Recovery</t>
  </si>
  <si>
    <t>Resource Module Calculations</t>
  </si>
  <si>
    <t>Viability Module Scenario Based Variable Inputs</t>
  </si>
  <si>
    <t>Viability Module Sampled Values of Assumption Distributions</t>
  </si>
  <si>
    <t>Viability Module Discounted Calculations</t>
  </si>
  <si>
    <t>R S V P</t>
  </si>
  <si>
    <t>Applicant Data</t>
  </si>
  <si>
    <t>R E S O U R C E   M O D U L E</t>
  </si>
  <si>
    <t>Each reservoir must be given a probability that it will produce hydrocarbons.</t>
  </si>
  <si>
    <t>Each reservoir must be assigned probabilities that it may be an oil reservoir, a gas reservoir, or both oil and gas.</t>
  </si>
  <si>
    <t xml:space="preserve">Proportional assumption distributions must be input for each reservoir to set oil share of reservoirs that can be both.                               Any form of assumption distribution can be used as long as the minimum value is 0, </t>
  </si>
  <si>
    <t>Probability assumption distributions of gas/oil ratios must be input for each reservoir</t>
  </si>
  <si>
    <t>Probability assumption distributions of condensate yield must be input for each reservoir</t>
  </si>
  <si>
    <t>A probability assumption distribution of reservoir acreage must be input for each reservoir.</t>
  </si>
  <si>
    <t>A probability assumption distribution of the average net pay must be input for each reservoir.</t>
  </si>
  <si>
    <t>Probability assumption distributions of expected oil recovery must be input for each reservoir</t>
  </si>
  <si>
    <t>Probability assumption distributions of expected gas recovery must be input for each reservoir</t>
  </si>
  <si>
    <t>Oil Result</t>
  </si>
  <si>
    <t>Gas Result</t>
  </si>
  <si>
    <t>Oil and Gas Result</t>
  </si>
  <si>
    <t>Combined Totals</t>
  </si>
  <si>
    <t>Resource Module Field Level Results</t>
  </si>
  <si>
    <r>
      <t>V I A B I L I T Y   M O D U L E</t>
    </r>
    <r>
      <rPr>
        <sz val="12"/>
        <color indexed="33"/>
        <rFont val="Arial"/>
        <family val="2"/>
      </rPr>
      <t xml:space="preserve"> </t>
    </r>
  </si>
  <si>
    <t>Viability Module Oil Price Inputs</t>
  </si>
  <si>
    <t xml:space="preserve"> Scenario Dependent Inputs</t>
  </si>
  <si>
    <t>Scenario 1</t>
  </si>
  <si>
    <t>Scenario 2</t>
  </si>
  <si>
    <t>Scenario 3</t>
  </si>
  <si>
    <t>Viability Module Annual Inputs for Scenario 1</t>
  </si>
  <si>
    <t>Viability Module Annual Inputs for Scenario 2</t>
  </si>
  <si>
    <t>Viability Module Annual Inputs for Scenario 3</t>
  </si>
  <si>
    <t>and Intermediate Calculations for Trial</t>
  </si>
  <si>
    <t>Viability Module Production and Price Calculations</t>
  </si>
  <si>
    <t>Viability Module Revenue, Costs, and Operating Margin Calculations</t>
  </si>
  <si>
    <t>Viability Module Cash Flow Calculations</t>
  </si>
  <si>
    <t>Project Cash Flow                     Using Loss Limiting</t>
  </si>
  <si>
    <t>Project Cash Flow                Using Applicant</t>
  </si>
  <si>
    <t>Preproduction                     Capital &amp; Well Costs</t>
  </si>
  <si>
    <t>All Project                       Capital &amp; Well Costs</t>
  </si>
  <si>
    <t>Federal Royalties Forgone</t>
  </si>
  <si>
    <t>Viability Module Results</t>
  </si>
  <si>
    <t>Input Data Checks</t>
  </si>
  <si>
    <t>Cost Compliance Worksheet</t>
  </si>
  <si>
    <t>Inputs must either be 1, indicating the reservoir will always produce, or the binomial assumption distribution must be used.</t>
  </si>
  <si>
    <t>Use the custom distribution for this entry.  Always assign values of 1 for oil, 2 for gas, and 3 for both oil and gas.</t>
  </si>
  <si>
    <t>the maximum value is 1 and proportion represented is the oil proportion.</t>
  </si>
  <si>
    <t>that has the possibility of being sampled as either an oil or an oil and gas reservoir.</t>
  </si>
  <si>
    <t>that has the possibility of being sampled as either a gas or an oil and gas reservoir.</t>
  </si>
  <si>
    <t>Gross</t>
  </si>
  <si>
    <t>Associated</t>
  </si>
  <si>
    <t>The price input Assumption Distributions must be in the form of "triangular" distributions and consistent with current MMS "Letter to Lessees".</t>
  </si>
  <si>
    <t>Captial</t>
  </si>
  <si>
    <t>Well Event Scheduling</t>
  </si>
  <si>
    <t>Variable</t>
  </si>
  <si>
    <t>Units</t>
  </si>
  <si>
    <t xml:space="preserve">Value  </t>
  </si>
  <si>
    <t>Selected</t>
  </si>
  <si>
    <t>Reserves</t>
  </si>
  <si>
    <t>Excess</t>
  </si>
  <si>
    <t>Final</t>
  </si>
  <si>
    <t>Oil</t>
  </si>
  <si>
    <t>Gas</t>
  </si>
  <si>
    <t>Capital</t>
  </si>
  <si>
    <t>Well</t>
  </si>
  <si>
    <t>Operating Costs</t>
  </si>
  <si>
    <t>Transportation</t>
  </si>
  <si>
    <t>Operating</t>
  </si>
  <si>
    <t>Capital &amp;</t>
  </si>
  <si>
    <t>Operating &amp;</t>
  </si>
  <si>
    <t>Abandonment</t>
  </si>
  <si>
    <t>Salvage</t>
  </si>
  <si>
    <t>Discount Rate of</t>
  </si>
  <si>
    <t>Discounted at</t>
  </si>
  <si>
    <t>Following the excecution of the program, input the red colored values below from the mean values of their</t>
  </si>
  <si>
    <t>Royalty Suspension Viability Program</t>
  </si>
  <si>
    <t>Field Name:</t>
  </si>
  <si>
    <t>Buffalo</t>
  </si>
  <si>
    <t>Reservoir</t>
  </si>
  <si>
    <t>Volume</t>
  </si>
  <si>
    <t>Condensate</t>
  </si>
  <si>
    <t>Gross Volume</t>
  </si>
  <si>
    <t>BOE</t>
  </si>
  <si>
    <t>Conditional Resources (MBOE)</t>
  </si>
  <si>
    <t>Total Field Gross Reservoir Volume (acre-feet):</t>
  </si>
  <si>
    <t>Oil Productive Capacity (Mbbl/Year):</t>
  </si>
  <si>
    <t>Expenditures</t>
  </si>
  <si>
    <t>Subsea</t>
  </si>
  <si>
    <t>Platform</t>
  </si>
  <si>
    <t>Production</t>
  </si>
  <si>
    <t>Resources</t>
  </si>
  <si>
    <t>MBOE</t>
  </si>
  <si>
    <t>Scenario</t>
  </si>
  <si>
    <t>Adjusted</t>
  </si>
  <si>
    <t>Profile</t>
  </si>
  <si>
    <t>Price</t>
  </si>
  <si>
    <t>Revenue</t>
  </si>
  <si>
    <t>Costs</t>
  </si>
  <si>
    <t>Cost</t>
  </si>
  <si>
    <t>Margin</t>
  </si>
  <si>
    <t>Well Costs</t>
  </si>
  <si>
    <t>Transp. Costs</t>
  </si>
  <si>
    <t>Value</t>
  </si>
  <si>
    <t>Cash Flow</t>
  </si>
  <si>
    <t>Field Reserves (MBOE):</t>
  </si>
  <si>
    <t>Fraction of First Year Costs to All Costs:</t>
  </si>
  <si>
    <t>corresponding output distributions. Then calculate the program (F9) to determine if the tests "pass" or "fail".</t>
  </si>
  <si>
    <t>Reservoir Name</t>
  </si>
  <si>
    <t xml:space="preserve">Reservoir Number </t>
  </si>
  <si>
    <t>Probability That the Reservoir Will Produce</t>
  </si>
  <si>
    <t>Probability of an Oil Reservoir, a Gas Reservoir, or an Oil and Gas Reservoir</t>
  </si>
  <si>
    <t>Proportional Distributions of the Oil/Gas Mix if an Oil and Gas Reservoir</t>
  </si>
  <si>
    <t>Gas/Oil Ratio (SCF/STB)</t>
  </si>
  <si>
    <t>Condensate Yield (bbl/Mmcf)</t>
  </si>
  <si>
    <t>ACRES</t>
  </si>
  <si>
    <t>Average Net Pay (feet)</t>
  </si>
  <si>
    <t>Oil Recovery (bbl/Acre-Foot)</t>
  </si>
  <si>
    <t>Gas Recovery (Mcf/Acre-Foot)</t>
  </si>
  <si>
    <t xml:space="preserve">Number </t>
  </si>
  <si>
    <t>(Acre Feet)</t>
  </si>
  <si>
    <t>(Mbbl)</t>
  </si>
  <si>
    <t>(MMcf)</t>
  </si>
  <si>
    <t>(MBOE)</t>
  </si>
  <si>
    <t>All Reservoirs</t>
  </si>
  <si>
    <t>Non-Dry Explo.</t>
  </si>
  <si>
    <t>Year for Initial Oil Price:</t>
  </si>
  <si>
    <t>Gas Productive Capacity (MMcf/Year):</t>
  </si>
  <si>
    <t>Year</t>
  </si>
  <si>
    <t>(M$)</t>
  </si>
  <si>
    <t>Drill</t>
  </si>
  <si>
    <t>Complete</t>
  </si>
  <si>
    <t>(MBOE/Year)</t>
  </si>
  <si>
    <t>Resources Oil Fraction</t>
  </si>
  <si>
    <t>Fraction</t>
  </si>
  <si>
    <t>($/bbl)</t>
  </si>
  <si>
    <t>($/mcf)</t>
  </si>
  <si>
    <t>Counter</t>
  </si>
  <si>
    <t>Most Likely Scenario</t>
  </si>
  <si>
    <t>All Scenarios</t>
  </si>
  <si>
    <t xml:space="preserve"> Field Water Depth (meters):</t>
  </si>
  <si>
    <t>Oil Recovery from Oil Portions of All Reservoirs (bbl/acre-foot):</t>
  </si>
  <si>
    <t>Field Inputs</t>
  </si>
  <si>
    <t>Initial Oil Price ($/bbl):</t>
  </si>
  <si>
    <t>Minimum Oil Fraction for Oil</t>
  </si>
  <si>
    <t>Difference Between Total Field BOE (Resources) and Field Reserves (MBOE):</t>
  </si>
  <si>
    <t>Most Likely Scenario Applicable Trials (1=Yes, 0=No):</t>
  </si>
  <si>
    <t>Applicable Trials Fraction Tests</t>
  </si>
  <si>
    <t>Reservoir 1</t>
  </si>
  <si>
    <t>Real Oil Price Growth Rate 1:</t>
  </si>
  <si>
    <t>CAPEX Confidence Factors:</t>
  </si>
  <si>
    <t>Gas to BOE Conversion Factor</t>
  </si>
  <si>
    <t>Mcf/bbl</t>
  </si>
  <si>
    <t>Fraction of All Scenario Trials:</t>
  </si>
  <si>
    <t>Date of Application:</t>
  </si>
  <si>
    <t>Reservoir 2</t>
  </si>
  <si>
    <t>Gas Recovery from Gas Portions of All Reservoirs (mcf/acre-foot):</t>
  </si>
  <si>
    <t xml:space="preserve">               Discount Rate (fraction):</t>
  </si>
  <si>
    <t>Oil Production Capacity</t>
  </si>
  <si>
    <t>Mbbl/Year</t>
  </si>
  <si>
    <t>Fraction of Reserves Comprised of Oil and Condensate (fraction):</t>
  </si>
  <si>
    <t>All Scenarios Applicable Trials (1=Yes, 0=No):</t>
  </si>
  <si>
    <t>Fraction of All Scenario Non-"0" Trials:</t>
  </si>
  <si>
    <t>Reservoir 3</t>
  </si>
  <si>
    <t xml:space="preserve">   Year for Real Oil Price Growth Rate 2:</t>
  </si>
  <si>
    <t>Platform Operating Cost (M$/Yr.):</t>
  </si>
  <si>
    <t>Gas Production Capacity</t>
  </si>
  <si>
    <t>MBOE/Year</t>
  </si>
  <si>
    <t>Fraction of Most Likely Scenario Trials:</t>
  </si>
  <si>
    <t>United States Department of the Interior</t>
  </si>
  <si>
    <t>Name of Company Applying:</t>
  </si>
  <si>
    <t>Richalo Exploration Company</t>
  </si>
  <si>
    <t>Reservoir 4</t>
  </si>
  <si>
    <t>Probability That Entire Field is Dry:</t>
  </si>
  <si>
    <t>Sunk Costs (M$):</t>
  </si>
  <si>
    <t>Real Oil Price Growth Rate 2:</t>
  </si>
  <si>
    <t>Variable Operating Cost ($/BOE):</t>
  </si>
  <si>
    <t>Reserves Standard Deviation Calculation</t>
  </si>
  <si>
    <t>Difference Between Resources and Reserves Oil Fractions (Fraction):</t>
  </si>
  <si>
    <t>All Scenario Non-Zeroed Trials (1=Yes, 0=No):</t>
  </si>
  <si>
    <t>Most Likely Scenario Trials Must Be &gt; 1/3 of All Scenario Trials and All Scenario Trials Must Be &gt; 0.900</t>
  </si>
  <si>
    <t>Minerals Management Service</t>
  </si>
  <si>
    <t>Reservoir 5</t>
  </si>
  <si>
    <t>Reserves Sampling</t>
  </si>
  <si>
    <t>Applicant Contact:</t>
  </si>
  <si>
    <t>Richard Winnor</t>
  </si>
  <si>
    <t>Reservoir 6</t>
  </si>
  <si>
    <t>Oil from All Oil Reservoirs in Field (Mbbl):</t>
  </si>
  <si>
    <t xml:space="preserve">   Year for Real Oil Price Growth Rate 3:</t>
  </si>
  <si>
    <t>Salvage Value (M$):</t>
  </si>
  <si>
    <t>Starting Oil Price ($/bbl):</t>
  </si>
  <si>
    <t>Total Project Capital Expenses (M$):</t>
  </si>
  <si>
    <t>7.5% Test For Total Project Capital Expenses (M$)</t>
  </si>
  <si>
    <t>Reservoir 7</t>
  </si>
  <si>
    <t>Real Oil Price Growth Rate 3:</t>
  </si>
  <si>
    <t>Abandonment Cost (M$):</t>
  </si>
  <si>
    <t>Resource/Reserves Difference</t>
  </si>
  <si>
    <t>Input: Total Project Capital Expenses</t>
  </si>
  <si>
    <t>Contact Telephone Number:</t>
  </si>
  <si>
    <t>(703) 787-1533</t>
  </si>
  <si>
    <t>Reservoir 8</t>
  </si>
  <si>
    <t>Associated Gas from All  Oil Reservoirs in Field (MMcf):</t>
  </si>
  <si>
    <t>Reserves Oil Fraction Standard Deviation Calculation</t>
  </si>
  <si>
    <t>Starting Gas Price ($/mcf):</t>
  </si>
  <si>
    <t>Mean of All Scenarios Must Be No More Than 7.5% Greater Than the Most Likely Scenario Input Values.</t>
  </si>
  <si>
    <t>^ Must Be Greater Than ^</t>
  </si>
  <si>
    <t>Reservoir 9</t>
  </si>
  <si>
    <t>Resource Data Inputs</t>
  </si>
  <si>
    <t>Viability Module Oil Quality Adjustment Table</t>
  </si>
  <si>
    <t>Reserves Oil Fraction Sampling</t>
  </si>
  <si>
    <t>MMS Support Contacts:</t>
  </si>
  <si>
    <t>Reservoir 10</t>
  </si>
  <si>
    <t>Gas from All Gas Reservoirs in Field (MMcf):</t>
  </si>
  <si>
    <t>Inputs obtained from separate running of resource module.</t>
  </si>
  <si>
    <t>These inputs must be consistent with current MMS "Letter to Lessees".</t>
  </si>
  <si>
    <t>Reserves Oil Fraction</t>
  </si>
  <si>
    <t>Sum of All Capital Expenses Including Well Costs (M$):</t>
  </si>
  <si>
    <t>Reservoir 11</t>
  </si>
  <si>
    <t>Oil Fraction Difference</t>
  </si>
  <si>
    <t>For technical support, problems, or questions concerning how to operate the program</t>
  </si>
  <si>
    <t>Reservoir 12</t>
  </si>
  <si>
    <t>Condensate from All Gas Reservoirs in Field (Mbbl):</t>
  </si>
  <si>
    <t xml:space="preserve"> BOE</t>
  </si>
  <si>
    <t>Oil Fraction</t>
  </si>
  <si>
    <t>API Gravity</t>
  </si>
  <si>
    <t>Price Adjustment</t>
  </si>
  <si>
    <t>CAPEX Confidence Factor</t>
  </si>
  <si>
    <t>1 + Fraction</t>
  </si>
  <si>
    <t xml:space="preserve">Operating and Transportation Costs per BOE Produced ($/BOE): </t>
  </si>
  <si>
    <t xml:space="preserve">  and on how the program works contact:</t>
  </si>
  <si>
    <t>Reservoir 13</t>
  </si>
  <si>
    <t>Non-Dry Exploratory Ratio</t>
  </si>
  <si>
    <t>Reservoir 14</t>
  </si>
  <si>
    <t>Oil from All Oil and Gas Reservoirs in Field (Mbbl):</t>
  </si>
  <si>
    <t>Mean (MBOE):</t>
  </si>
  <si>
    <t>Subsea Drilling Cost</t>
  </si>
  <si>
    <t>M$/Well</t>
  </si>
  <si>
    <t>Tom Farndon       (703)  787-1502</t>
  </si>
  <si>
    <t>Reservoir 15</t>
  </si>
  <si>
    <t>Subsea Completion Cost</t>
  </si>
  <si>
    <t>Associated Gas from All Oil and Gas Reservoirs in Field (MMcf):</t>
  </si>
  <si>
    <t>Standard Deviation (MBOE):</t>
  </si>
  <si>
    <t>Platform Drilling Cost</t>
  </si>
  <si>
    <t>Sam Fraser          (703)  787-1531</t>
  </si>
  <si>
    <t>Platform Completion Cost</t>
  </si>
  <si>
    <t>Gas from All Oil and Gas Reservoirs in Field (MMcf):</t>
  </si>
  <si>
    <t>Minimum Value (MBOE):</t>
  </si>
  <si>
    <t>Platform Operating Cost</t>
  </si>
  <si>
    <t>M$/Year</t>
  </si>
  <si>
    <t>Net Present Value of the Field's Cash Flow Using All Trials (M$):</t>
  </si>
  <si>
    <t>For support concerning data inputs and analysis for a specific field or project contact:</t>
  </si>
  <si>
    <t>Variable Operating Cost</t>
  </si>
  <si>
    <t>$/BOE</t>
  </si>
  <si>
    <t>Condensate from All Oil and Gas Reservoirs in Field (Mbbl):</t>
  </si>
  <si>
    <t>Maximum Value (MBOE):</t>
  </si>
  <si>
    <t>Oil Transportation Cost</t>
  </si>
  <si>
    <t>$/bbl</t>
  </si>
  <si>
    <t>Royalties and Sunk Costs to be Added to PNPV for Estimated Full NPV (M$):</t>
  </si>
  <si>
    <t>Al Durr                   (504)  736-2659</t>
  </si>
  <si>
    <t>Oil Gravity</t>
  </si>
  <si>
    <t>degrees API</t>
  </si>
  <si>
    <t>Total of Oil and Condensate from All Reservoirs in Field (Mbbl):</t>
  </si>
  <si>
    <t>Viability Module Gas Price Inputs</t>
  </si>
  <si>
    <t>Oil Quality Interpolation</t>
  </si>
  <si>
    <t>Prospective Net Present Value of the Field's Cash Flow (M$):</t>
  </si>
  <si>
    <t>Kevin Karl                 (504)  736-2632</t>
  </si>
  <si>
    <t>Identification of Resource Levels Associated With Development Scenarios</t>
  </si>
  <si>
    <t>These price inputs must be consistent with current MMS "Letter to Lessees".</t>
  </si>
  <si>
    <t>Total of Gas and Associated Gas from All Reservoirs in Field (MMcf):</t>
  </si>
  <si>
    <t>Input values of Minimum and Maximum Resources for Scenario 2</t>
  </si>
  <si>
    <t>Year for Initial Gas Price:</t>
  </si>
  <si>
    <t>Total of Oil, Condensate, Gas and Associated Gas (MBOE):</t>
  </si>
  <si>
    <t>must lie between Minimum for Scenario 1 and Maximum for Scenario 3.</t>
  </si>
  <si>
    <t>Initial Gas Price ($/mcf):</t>
  </si>
  <si>
    <t>MMS Required Program Standards</t>
  </si>
  <si>
    <t>Real Gas Price Growth Rate 1:</t>
  </si>
  <si>
    <t>Fraction of Total BOE Comprised of Oil and Condensate:</t>
  </si>
  <si>
    <t>Minimum Resources for Scenario 1:</t>
  </si>
  <si>
    <t>&lt; NOT AN INPUT!</t>
  </si>
  <si>
    <t>Gas to BOE Conversion Factor:</t>
  </si>
  <si>
    <t xml:space="preserve">   Year for Real Gas Price Growth Rate 2:</t>
  </si>
  <si>
    <t>Minimum Resources for Scenario 2:</t>
  </si>
  <si>
    <t>Real Gas Price Growth Rate 2:</t>
  </si>
  <si>
    <t>Oil Quality Adjustment</t>
  </si>
  <si>
    <t>Gas Transportation Cost</t>
  </si>
  <si>
    <t>$/mcf</t>
  </si>
  <si>
    <t>Discount Rate for Loss Limiting Feature</t>
  </si>
  <si>
    <t>Maximum Resources for Scenario 2:</t>
  </si>
  <si>
    <t xml:space="preserve">   Year for Real Gas Price Growth Rate 3:</t>
  </si>
  <si>
    <t>Gas Price</t>
  </si>
  <si>
    <t>Real Gas Price Growth Rate 3:</t>
  </si>
  <si>
    <t>Gas Quality</t>
  </si>
  <si>
    <t>BTU/mcf</t>
  </si>
  <si>
    <t>Maximum Resources for Scenario 3:</t>
  </si>
  <si>
    <t>Gas Quality Adjustment</t>
  </si>
  <si>
    <t>Gas Quality Standard (BTU/mcf):</t>
  </si>
  <si>
    <t>Salvage Value</t>
  </si>
  <si>
    <t>M$</t>
  </si>
  <si>
    <t xml:space="preserve">Gas Quality Adjustment Factor (BTU/$.01): </t>
  </si>
  <si>
    <t>Abandonment Cost</t>
  </si>
  <si>
    <t>Cost Variable Input Distributions</t>
  </si>
  <si>
    <t>Initial Oil Price</t>
  </si>
  <si>
    <t>Real Oil Price Growth Rate 1</t>
  </si>
  <si>
    <t>%/Year+100%</t>
  </si>
  <si>
    <t>Average Cost for Drilling a Subsea Well (M$/Well):</t>
  </si>
  <si>
    <t>Initial Gas Price</t>
  </si>
  <si>
    <t>Real Gas Price Growth Rate 1</t>
  </si>
  <si>
    <t>Average Cost for Completing a Subsea Well (M$/Well):</t>
  </si>
  <si>
    <t>Oil Price at \YROGRO2</t>
  </si>
  <si>
    <t>Gas Price at \YRGGRO2</t>
  </si>
  <si>
    <t>Average Cost for Drilling a Platform Well (M$/Well):</t>
  </si>
  <si>
    <t>Real Oil Price Growth Rate 2</t>
  </si>
  <si>
    <t>Real Gas Price Growth Rate 2</t>
  </si>
  <si>
    <t>Average Cost for Completing a Platform Well (M$/Well):</t>
  </si>
  <si>
    <t>Oil Price at \YROGRO3</t>
  </si>
  <si>
    <t>Gas Price at \YRGGRO3</t>
  </si>
  <si>
    <t>Oil Transportation Cost ($/bbl):</t>
  </si>
  <si>
    <t>Real Oil Price Growth Rate 3</t>
  </si>
  <si>
    <t>Real Gas Price Growth Rate 3</t>
  </si>
  <si>
    <t>Gas Transportation Cost ($/Mcf):</t>
  </si>
  <si>
    <t>Fraction of Year 1 Remaining Following Application</t>
  </si>
  <si>
    <t>Product Quality Input Distributions</t>
  </si>
  <si>
    <t>Oil Gravity (degrees API):</t>
  </si>
  <si>
    <t>Gas Quality (BTU/mcf):</t>
  </si>
  <si>
    <t>Version 2.14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</si>
</sst>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0_);\(#,##0.0000\)"/>
    <numFmt numFmtId="166" formatCode="0.000000"/>
    <numFmt numFmtId="167" formatCode=";;;"/>
    <numFmt numFmtId="168" formatCode="#,##0.000_);\(#,##0.000\)"/>
    <numFmt numFmtId="169" formatCode="#,##0.0_);\(#,##0.0\)"/>
    <numFmt numFmtId="170" formatCode="#,##0;[Red]#,##0"/>
    <numFmt numFmtId="171" formatCode="#,###_);;"/>
    <numFmt numFmtId="172" formatCode="0.000_)"/>
    <numFmt numFmtId="173" formatCode="#,##0.0"/>
    <numFmt numFmtId="174" formatCode="0.00_)"/>
    <numFmt numFmtId="175" formatCode="#,###_);\(#,###\);;"/>
    <numFmt numFmtId="176" formatCode="0.000"/>
    <numFmt numFmtId="177" formatCode="#,##0.000"/>
    <numFmt numFmtId="178" formatCode="0.0000"/>
    <numFmt numFmtId="179" formatCode="0.0000_)"/>
    <numFmt numFmtId="180" formatCode="&quot;$&quot;#,##0.000_);\(&quot;$&quot;#,##0.000\)"/>
    <numFmt numFmtId="181" formatCode="mmmm\ d\,\ yyyy"/>
    <numFmt numFmtId="182" formatCode="dd\-mmm\-yy"/>
  </numFmts>
  <fonts count="63">
    <font>
      <sz val="10"/>
      <name val="Arial"/>
      <family val="0"/>
    </font>
    <font>
      <b/>
      <sz val="10"/>
      <name val="Arial"/>
      <family val="0"/>
    </font>
    <font>
      <i/>
      <sz val="10"/>
      <name val="Arial"/>
      <family val="0"/>
    </font>
    <font>
      <b/>
      <i/>
      <sz val="10"/>
      <name val="Arial"/>
      <family val="0"/>
    </font>
    <font>
      <i/>
      <sz val="8"/>
      <name val="Arial"/>
      <family val="2"/>
    </font>
    <font>
      <i/>
      <sz val="12"/>
      <name val="Arial"/>
      <family val="2"/>
    </font>
    <font>
      <sz val="24"/>
      <color indexed="51"/>
      <name val="Arial"/>
      <family val="2"/>
    </font>
    <font>
      <sz val="14"/>
      <color indexed="14"/>
      <name val="Arial"/>
      <family val="2"/>
    </font>
    <font>
      <sz val="12"/>
      <color indexed="12"/>
      <name val="Arial"/>
      <family val="2"/>
    </font>
    <font>
      <sz val="14"/>
      <color indexed="60"/>
      <name val="Arial"/>
      <family val="2"/>
    </font>
    <font>
      <sz val="14"/>
      <color indexed="48"/>
      <name val="Arial"/>
      <family val="2"/>
    </font>
    <font>
      <sz val="14"/>
      <color indexed="33"/>
      <name val="Arial"/>
      <family val="2"/>
    </font>
    <font>
      <sz val="14"/>
      <color indexed="30"/>
      <name val="Arial"/>
      <family val="2"/>
    </font>
    <font>
      <sz val="14"/>
      <color indexed="29"/>
      <name val="Arial"/>
      <family val="2"/>
    </font>
    <font>
      <sz val="14"/>
      <color indexed="39"/>
      <name val="Arial"/>
      <family val="2"/>
    </font>
    <font>
      <sz val="16"/>
      <color indexed="12"/>
      <name val="Arial"/>
      <family val="2"/>
    </font>
    <font>
      <sz val="16"/>
      <name val="Arial"/>
      <family val="2"/>
    </font>
    <font>
      <sz val="16"/>
      <color indexed="9"/>
      <name val="Arial"/>
      <family val="2"/>
    </font>
    <font>
      <sz val="16"/>
      <color indexed="39"/>
      <name val="Arial"/>
      <family val="2"/>
    </font>
    <font>
      <sz val="16"/>
      <color indexed="36"/>
      <name val="Arial"/>
      <family val="2"/>
    </font>
    <font>
      <sz val="16"/>
      <color indexed="62"/>
      <name val="Arial"/>
      <family val="2"/>
    </font>
    <font>
      <sz val="12"/>
      <color indexed="62"/>
      <name val="Arial"/>
      <family val="2"/>
    </font>
    <font>
      <sz val="6"/>
      <name val="Arial"/>
      <family val="2"/>
    </font>
    <font>
      <sz val="14"/>
      <color indexed="36"/>
      <name val="Arial"/>
      <family val="2"/>
    </font>
    <font>
      <sz val="11"/>
      <color indexed="58"/>
      <name val="Arial"/>
      <family val="2"/>
    </font>
    <font>
      <sz val="12"/>
      <color indexed="8"/>
      <name val="Arial"/>
      <family val="2"/>
    </font>
    <font>
      <sz val="12"/>
      <color indexed="27"/>
      <name val="Arial"/>
      <family val="2"/>
    </font>
    <font>
      <sz val="20"/>
      <color indexed="39"/>
      <name val="Arial"/>
      <family val="2"/>
    </font>
    <font>
      <sz val="12"/>
      <color indexed="39"/>
      <name val="Arial"/>
      <family val="2"/>
    </font>
    <font>
      <sz val="20"/>
      <color indexed="33"/>
      <name val="Arial"/>
      <family val="2"/>
    </font>
    <font>
      <sz val="12"/>
      <color indexed="33"/>
      <name val="Arial"/>
      <family val="2"/>
    </font>
    <font>
      <sz val="16"/>
      <color indexed="25"/>
      <name val="Arial"/>
      <family val="2"/>
    </font>
    <font>
      <sz val="14"/>
      <color indexed="9"/>
      <name val="Arial"/>
      <family val="2"/>
    </font>
    <font>
      <sz val="16"/>
      <color indexed="51"/>
      <name val="Arial"/>
      <family val="2"/>
    </font>
    <font>
      <sz val="16"/>
      <color indexed="43"/>
      <name val="Arial"/>
      <family val="2"/>
    </font>
    <font>
      <sz val="12"/>
      <color indexed="58"/>
      <name val="Arial"/>
      <family val="2"/>
    </font>
    <font>
      <sz val="16"/>
      <color indexed="58"/>
      <name val="Arial"/>
      <family val="2"/>
    </font>
    <font>
      <sz val="16"/>
      <color indexed="31"/>
      <name val="Arial"/>
      <family val="2"/>
    </font>
    <font>
      <sz val="12"/>
      <color indexed="31"/>
      <name val="Arial"/>
      <family val="2"/>
    </font>
    <font>
      <sz val="18"/>
      <color indexed="27"/>
      <name val="Arial"/>
      <family val="2"/>
    </font>
    <font>
      <sz val="12"/>
      <color indexed="51"/>
      <name val="Arial"/>
      <family val="2"/>
    </font>
    <font>
      <sz val="12"/>
      <color indexed="9"/>
      <name val="Arial"/>
      <family val="2"/>
    </font>
    <font>
      <sz val="14"/>
      <color indexed="26"/>
      <name val="Arial"/>
      <family val="2"/>
    </font>
    <font>
      <sz val="10"/>
      <color indexed="27"/>
      <name val="Arial"/>
      <family val="2"/>
    </font>
    <font>
      <sz val="12"/>
      <color indexed="10"/>
      <name val="Arial"/>
      <family val="2"/>
    </font>
    <font>
      <sz val="10"/>
      <color indexed="54"/>
      <name val="Arial"/>
      <family val="2"/>
    </font>
    <font>
      <sz val="12"/>
      <color indexed="54"/>
      <name val="Arial"/>
      <family val="2"/>
    </font>
    <font>
      <sz val="11"/>
      <color indexed="9"/>
      <name val="Arial"/>
      <family val="2"/>
    </font>
    <font>
      <sz val="12"/>
      <color indexed="43"/>
      <name val="Arial"/>
      <family val="2"/>
    </font>
    <font>
      <sz val="12"/>
      <color indexed="19"/>
      <name val="Arial"/>
      <family val="2"/>
    </font>
    <font>
      <sz val="12"/>
      <color indexed="26"/>
      <name val="Arial"/>
      <family val="2"/>
    </font>
    <font>
      <sz val="11"/>
      <color indexed="8"/>
      <name val="Arial"/>
      <family val="2"/>
    </font>
    <font>
      <u val="single"/>
      <sz val="8"/>
      <name val="Arial"/>
      <family val="2"/>
    </font>
    <font>
      <sz val="12"/>
      <name val="Arial"/>
      <family val="2"/>
    </font>
    <font>
      <sz val="8"/>
      <name val="Arial"/>
      <family val="2"/>
    </font>
    <font>
      <sz val="9"/>
      <color indexed="10"/>
      <name val="Arial"/>
      <family val="2"/>
    </font>
    <font>
      <u val="single"/>
      <sz val="12"/>
      <name val="Arial"/>
      <family val="2"/>
    </font>
    <font>
      <u val="single"/>
      <sz val="12"/>
      <color indexed="10"/>
      <name val="Arial"/>
      <family val="2"/>
    </font>
    <font>
      <u val="double"/>
      <sz val="12"/>
      <name val="Arial"/>
      <family val="2"/>
    </font>
    <font>
      <u val="double"/>
      <sz val="12"/>
      <color indexed="10"/>
      <name val="Arial"/>
      <family val="2"/>
    </font>
    <font>
      <u val="double"/>
      <sz val="8"/>
      <name val="Arial"/>
      <family val="2"/>
    </font>
    <font>
      <sz val="8"/>
      <name val="Tahoma"/>
      <family val="0"/>
    </font>
    <font>
      <b/>
      <sz val="8"/>
      <name val="Arial"/>
      <family val="2"/>
    </font>
  </fonts>
  <fills count="42">
    <fill>
      <patternFill/>
    </fill>
    <fill>
      <patternFill patternType="gray125"/>
    </fill>
    <fill>
      <patternFill patternType="solid">
        <fgColor indexed="38"/>
        <bgColor indexed="64"/>
      </patternFill>
    </fill>
    <fill>
      <patternFill patternType="solid">
        <fgColor indexed="27"/>
        <bgColor indexed="64"/>
      </patternFill>
    </fill>
    <fill>
      <patternFill patternType="solid">
        <fgColor indexed="21"/>
        <bgColor indexed="64"/>
      </patternFill>
    </fill>
    <fill>
      <patternFill patternType="solid">
        <fgColor indexed="8"/>
        <bgColor indexed="64"/>
      </patternFill>
    </fill>
    <fill>
      <patternFill patternType="solid">
        <fgColor indexed="43"/>
        <bgColor indexed="64"/>
      </patternFill>
    </fill>
    <fill>
      <patternFill patternType="solid">
        <fgColor indexed="31"/>
        <bgColor indexed="64"/>
      </patternFill>
    </fill>
    <fill>
      <patternFill patternType="solid">
        <fgColor indexed="51"/>
        <bgColor indexed="64"/>
      </patternFill>
    </fill>
    <fill>
      <patternFill patternType="solid">
        <fgColor indexed="26"/>
        <bgColor indexed="64"/>
      </patternFill>
    </fill>
    <fill>
      <patternFill patternType="solid">
        <fgColor indexed="29"/>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15"/>
        <bgColor indexed="64"/>
      </patternFill>
    </fill>
    <fill>
      <patternFill patternType="solid">
        <fgColor indexed="24"/>
        <bgColor indexed="64"/>
      </patternFill>
    </fill>
    <fill>
      <patternFill patternType="darkVertical">
        <bgColor indexed="10"/>
      </patternFill>
    </fill>
    <fill>
      <patternFill patternType="solid">
        <fgColor indexed="18"/>
        <bgColor indexed="64"/>
      </patternFill>
    </fill>
    <fill>
      <patternFill patternType="solid">
        <fgColor indexed="16"/>
        <bgColor indexed="64"/>
      </patternFill>
    </fill>
    <fill>
      <patternFill patternType="solid">
        <fgColor indexed="59"/>
        <bgColor indexed="64"/>
      </patternFill>
    </fill>
    <fill>
      <patternFill patternType="solid">
        <fgColor indexed="52"/>
        <bgColor indexed="64"/>
      </patternFill>
    </fill>
    <fill>
      <patternFill patternType="solid">
        <fgColor indexed="50"/>
        <bgColor indexed="64"/>
      </patternFill>
    </fill>
    <fill>
      <patternFill patternType="solid">
        <fgColor indexed="25"/>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39"/>
        <bgColor indexed="64"/>
      </patternFill>
    </fill>
    <fill>
      <patternFill patternType="solid">
        <fgColor indexed="28"/>
        <bgColor indexed="64"/>
      </patternFill>
    </fill>
    <fill>
      <patternFill patternType="solid">
        <fgColor indexed="42"/>
        <bgColor indexed="64"/>
      </patternFill>
    </fill>
    <fill>
      <patternFill patternType="solid">
        <fgColor indexed="62"/>
        <bgColor indexed="64"/>
      </patternFill>
    </fill>
    <fill>
      <patternFill patternType="solid">
        <fgColor indexed="19"/>
        <bgColor indexed="64"/>
      </patternFill>
    </fill>
    <fill>
      <patternFill patternType="solid">
        <fgColor indexed="37"/>
        <bgColor indexed="64"/>
      </patternFill>
    </fill>
    <fill>
      <patternFill patternType="solid">
        <fgColor indexed="33"/>
        <bgColor indexed="64"/>
      </patternFill>
    </fill>
    <fill>
      <patternFill patternType="solid">
        <fgColor indexed="30"/>
        <bgColor indexed="64"/>
      </patternFill>
    </fill>
    <fill>
      <patternFill patternType="solid">
        <fgColor indexed="35"/>
        <bgColor indexed="64"/>
      </patternFill>
    </fill>
    <fill>
      <patternFill patternType="solid">
        <fgColor indexed="49"/>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4" fillId="2" borderId="0" xfId="0" applyFont="1" applyFill="1" applyAlignment="1">
      <alignment horizontal="centerContinuous" vertical="top"/>
    </xf>
    <xf numFmtId="0" fontId="2" fillId="2" borderId="0" xfId="0" applyFont="1" applyFill="1" applyAlignment="1">
      <alignment horizontal="centerContinuous" vertical="top"/>
    </xf>
    <xf numFmtId="0" fontId="5" fillId="3" borderId="0" xfId="0" applyFont="1" applyFill="1" applyAlignment="1" applyProtection="1">
      <alignment horizontal="centerContinuous"/>
      <protection/>
    </xf>
    <xf numFmtId="0" fontId="2" fillId="4" borderId="0" xfId="0" applyFont="1" applyFill="1" applyAlignment="1">
      <alignment horizontal="centerContinuous" vertical="top"/>
    </xf>
    <xf numFmtId="0" fontId="2" fillId="3" borderId="0" xfId="0" applyFont="1" applyFill="1" applyAlignment="1" applyProtection="1">
      <alignment horizontal="centerContinuous"/>
      <protection/>
    </xf>
    <xf numFmtId="0" fontId="4" fillId="3" borderId="0" xfId="0" applyFont="1" applyFill="1" applyAlignment="1">
      <alignment horizontal="centerContinuous"/>
    </xf>
    <xf numFmtId="0" fontId="6" fillId="5" borderId="0" xfId="0" applyFont="1" applyFill="1" applyAlignment="1" applyProtection="1">
      <alignment horizontal="center"/>
      <protection locked="0"/>
    </xf>
    <xf numFmtId="0" fontId="0" fillId="5" borderId="0" xfId="0" applyFont="1" applyFill="1" applyAlignment="1">
      <alignment/>
    </xf>
    <xf numFmtId="0" fontId="0" fillId="6" borderId="0" xfId="0" applyFont="1" applyFill="1" applyAlignment="1">
      <alignment/>
    </xf>
    <xf numFmtId="0" fontId="0" fillId="0" borderId="0" xfId="0" applyFont="1" applyAlignment="1">
      <alignment/>
    </xf>
    <xf numFmtId="0" fontId="7" fillId="6" borderId="0" xfId="0" applyFont="1" applyFill="1" applyAlignment="1">
      <alignment horizontal="centerContinuous"/>
    </xf>
    <xf numFmtId="0" fontId="7" fillId="7" borderId="0" xfId="0" applyFont="1" applyFill="1" applyAlignment="1">
      <alignment horizontal="centerContinuous"/>
    </xf>
    <xf numFmtId="0" fontId="8" fillId="7" borderId="0" xfId="0" applyFont="1" applyFill="1" applyAlignment="1" applyProtection="1">
      <alignment horizontal="centerContinuous"/>
      <protection locked="0"/>
    </xf>
    <xf numFmtId="0" fontId="9" fillId="8" borderId="0" xfId="0" applyFont="1" applyFill="1" applyAlignment="1">
      <alignment horizontal="centerContinuous"/>
    </xf>
    <xf numFmtId="0" fontId="8" fillId="8" borderId="0" xfId="0" applyFont="1" applyFill="1" applyAlignment="1" applyProtection="1">
      <alignment horizontal="centerContinuous"/>
      <protection locked="0"/>
    </xf>
    <xf numFmtId="0" fontId="9" fillId="9" borderId="0" xfId="0" applyFont="1" applyFill="1" applyAlignment="1">
      <alignment horizontal="centerContinuous"/>
    </xf>
    <xf numFmtId="0" fontId="8" fillId="9" borderId="0" xfId="0" applyFont="1" applyFill="1" applyAlignment="1" applyProtection="1">
      <alignment horizontal="centerContinuous"/>
      <protection locked="0"/>
    </xf>
    <xf numFmtId="0" fontId="10" fillId="10" borderId="0" xfId="0" applyFont="1" applyFill="1" applyAlignment="1">
      <alignment horizontal="centerContinuous"/>
    </xf>
    <xf numFmtId="0" fontId="8" fillId="10" borderId="0" xfId="0" applyFont="1" applyFill="1" applyAlignment="1" applyProtection="1">
      <alignment horizontal="centerContinuous"/>
      <protection locked="0"/>
    </xf>
    <xf numFmtId="0" fontId="11" fillId="4" borderId="0" xfId="0" applyFont="1" applyFill="1" applyAlignment="1">
      <alignment horizontal="centerContinuous"/>
    </xf>
    <xf numFmtId="0" fontId="8" fillId="4" borderId="0" xfId="0" applyFont="1" applyFill="1" applyAlignment="1" applyProtection="1">
      <alignment horizontal="centerContinuous"/>
      <protection locked="0"/>
    </xf>
    <xf numFmtId="0" fontId="12" fillId="11" borderId="0" xfId="0" applyFont="1" applyFill="1" applyAlignment="1">
      <alignment horizontal="centerContinuous"/>
    </xf>
    <xf numFmtId="0" fontId="8" fillId="11" borderId="0" xfId="0" applyFont="1" applyFill="1" applyAlignment="1" applyProtection="1">
      <alignment horizontal="centerContinuous"/>
      <protection locked="0"/>
    </xf>
    <xf numFmtId="0" fontId="13" fillId="12" borderId="0" xfId="0" applyFont="1" applyFill="1" applyAlignment="1">
      <alignment horizontal="centerContinuous"/>
    </xf>
    <xf numFmtId="0" fontId="8" fillId="12" borderId="0" xfId="0" applyFont="1" applyFill="1" applyAlignment="1" applyProtection="1">
      <alignment horizontal="centerContinuous"/>
      <protection locked="0"/>
    </xf>
    <xf numFmtId="0" fontId="14" fillId="13" borderId="0" xfId="0" applyFont="1" applyFill="1" applyAlignment="1">
      <alignment horizontal="centerContinuous"/>
    </xf>
    <xf numFmtId="0" fontId="8" fillId="13" borderId="0" xfId="0" applyFont="1" applyFill="1" applyAlignment="1" applyProtection="1">
      <alignment horizontal="centerContinuous"/>
      <protection locked="0"/>
    </xf>
    <xf numFmtId="0" fontId="15" fillId="14" borderId="0" xfId="0" applyFont="1" applyFill="1" applyAlignment="1" applyProtection="1">
      <alignment horizontal="centerContinuous"/>
      <protection locked="0"/>
    </xf>
    <xf numFmtId="0" fontId="16" fillId="14" borderId="0" xfId="0" applyFont="1" applyFill="1" applyAlignment="1">
      <alignment horizontal="centerContinuous"/>
    </xf>
    <xf numFmtId="0" fontId="15" fillId="7" borderId="0" xfId="0" applyFont="1" applyFill="1" applyAlignment="1" applyProtection="1">
      <alignment horizontal="centerContinuous"/>
      <protection locked="0"/>
    </xf>
    <xf numFmtId="0" fontId="16" fillId="7" borderId="0" xfId="0" applyFont="1" applyFill="1" applyAlignment="1">
      <alignment horizontal="centerContinuous"/>
    </xf>
    <xf numFmtId="0" fontId="17" fillId="12" borderId="0" xfId="0" applyFont="1" applyFill="1" applyAlignment="1" applyProtection="1">
      <alignment horizontal="centerContinuous"/>
      <protection locked="0"/>
    </xf>
    <xf numFmtId="0" fontId="18" fillId="12" borderId="0" xfId="0" applyFont="1" applyFill="1" applyAlignment="1">
      <alignment horizontal="centerContinuous"/>
    </xf>
    <xf numFmtId="0" fontId="16" fillId="12" borderId="0" xfId="0" applyFont="1" applyFill="1" applyAlignment="1">
      <alignment horizontal="centerContinuous"/>
    </xf>
    <xf numFmtId="0" fontId="0" fillId="15" borderId="0" xfId="0" applyFont="1" applyFill="1" applyAlignment="1">
      <alignment/>
    </xf>
    <xf numFmtId="0" fontId="0" fillId="16" borderId="0" xfId="0" applyFont="1" applyFill="1" applyAlignment="1">
      <alignment/>
    </xf>
    <xf numFmtId="0" fontId="0" fillId="3" borderId="0" xfId="0" applyFont="1" applyFill="1" applyAlignment="1">
      <alignment/>
    </xf>
    <xf numFmtId="165" fontId="0" fillId="3" borderId="0" xfId="0" applyNumberFormat="1" applyFont="1" applyFill="1" applyAlignment="1" applyProtection="1">
      <alignment/>
      <protection/>
    </xf>
    <xf numFmtId="0" fontId="0" fillId="2" borderId="0" xfId="0" applyFont="1" applyFill="1" applyAlignment="1">
      <alignment/>
    </xf>
    <xf numFmtId="0" fontId="19" fillId="15" borderId="0" xfId="0" applyFont="1" applyFill="1" applyAlignment="1" applyProtection="1">
      <alignment horizontal="centerContinuous" vertical="top"/>
      <protection/>
    </xf>
    <xf numFmtId="0" fontId="16" fillId="15" borderId="0" xfId="0" applyFont="1" applyFill="1" applyAlignment="1" applyProtection="1">
      <alignment horizontal="centerContinuous" vertical="top"/>
      <protection/>
    </xf>
    <xf numFmtId="0" fontId="0" fillId="17" borderId="0" xfId="0" applyFont="1" applyFill="1" applyAlignment="1">
      <alignment/>
    </xf>
    <xf numFmtId="0" fontId="0" fillId="18" borderId="0" xfId="0" applyFont="1" applyFill="1" applyAlignment="1">
      <alignment/>
    </xf>
    <xf numFmtId="0" fontId="0" fillId="19" borderId="0" xfId="0" applyFont="1" applyFill="1" applyAlignment="1">
      <alignment/>
    </xf>
    <xf numFmtId="0" fontId="20" fillId="9" borderId="0" xfId="0" applyFont="1" applyFill="1" applyAlignment="1" applyProtection="1">
      <alignment horizontal="centerContinuous" vertical="top"/>
      <protection locked="0"/>
    </xf>
    <xf numFmtId="0" fontId="21" fillId="9" borderId="0" xfId="0" applyFont="1" applyFill="1" applyAlignment="1">
      <alignment horizontal="centerContinuous"/>
    </xf>
    <xf numFmtId="0" fontId="0" fillId="20" borderId="0" xfId="0" applyFont="1" applyFill="1" applyAlignment="1">
      <alignment/>
    </xf>
    <xf numFmtId="0" fontId="0" fillId="21" borderId="0" xfId="0" applyFont="1" applyFill="1" applyAlignment="1">
      <alignment/>
    </xf>
    <xf numFmtId="0" fontId="22" fillId="21" borderId="0" xfId="0" applyFont="1" applyFill="1" applyAlignment="1">
      <alignment/>
    </xf>
    <xf numFmtId="0" fontId="0" fillId="22" borderId="0" xfId="0" applyFont="1" applyFill="1" applyAlignment="1">
      <alignment/>
    </xf>
    <xf numFmtId="0" fontId="22" fillId="12" borderId="0" xfId="0" applyFont="1" applyFill="1" applyAlignment="1">
      <alignment/>
    </xf>
    <xf numFmtId="0" fontId="0" fillId="12" borderId="0" xfId="0" applyFont="1" applyFill="1" applyAlignment="1">
      <alignment/>
    </xf>
    <xf numFmtId="0" fontId="23" fillId="23" borderId="0" xfId="0" applyFont="1" applyFill="1" applyAlignment="1" applyProtection="1">
      <alignment horizontal="centerContinuous"/>
      <protection/>
    </xf>
    <xf numFmtId="166" fontId="0" fillId="23" borderId="0" xfId="0" applyNumberFormat="1" applyFont="1" applyFill="1" applyAlignment="1">
      <alignment horizontal="centerContinuous"/>
    </xf>
    <xf numFmtId="0" fontId="24" fillId="23" borderId="0" xfId="0" applyFont="1" applyFill="1" applyAlignment="1" applyProtection="1">
      <alignment horizontal="centerContinuous"/>
      <protection/>
    </xf>
    <xf numFmtId="0" fontId="25" fillId="24" borderId="0" xfId="0" applyFont="1" applyFill="1" applyAlignment="1">
      <alignment/>
    </xf>
    <xf numFmtId="0" fontId="25" fillId="24" borderId="0" xfId="0" applyFont="1" applyFill="1" applyAlignment="1">
      <alignment horizontal="centerContinuous"/>
    </xf>
    <xf numFmtId="0" fontId="26" fillId="3" borderId="0" xfId="0" applyFont="1" applyFill="1" applyAlignment="1">
      <alignment/>
    </xf>
    <xf numFmtId="0" fontId="27" fillId="6" borderId="0" xfId="0" applyFont="1" applyFill="1" applyAlignment="1">
      <alignment horizontal="centerContinuous"/>
    </xf>
    <xf numFmtId="0" fontId="0" fillId="6" borderId="0" xfId="0" applyFont="1" applyFill="1" applyAlignment="1" applyProtection="1">
      <alignment horizontal="centerContinuous"/>
      <protection/>
    </xf>
    <xf numFmtId="0" fontId="27" fillId="0" borderId="0" xfId="0" applyFont="1" applyAlignment="1" applyProtection="1">
      <alignment horizontal="centerContinuous"/>
      <protection locked="0"/>
    </xf>
    <xf numFmtId="0" fontId="27" fillId="0" borderId="0" xfId="0" applyFont="1" applyAlignment="1">
      <alignment horizontal="centerContinuous"/>
    </xf>
    <xf numFmtId="0" fontId="0" fillId="6" borderId="0" xfId="0" applyFont="1" applyFill="1" applyAlignment="1">
      <alignment horizontal="centerContinuous" wrapText="1"/>
    </xf>
    <xf numFmtId="0" fontId="0" fillId="7" borderId="0" xfId="0" applyFont="1" applyFill="1" applyAlignment="1">
      <alignment horizontal="centerContinuous"/>
    </xf>
    <xf numFmtId="0" fontId="0" fillId="8" borderId="0" xfId="0" applyFont="1" applyFill="1" applyAlignment="1">
      <alignment horizontal="centerContinuous" wrapText="1"/>
    </xf>
    <xf numFmtId="0" fontId="0" fillId="9" borderId="0" xfId="0" applyFont="1" applyFill="1" applyAlignment="1">
      <alignment horizontal="centerContinuous"/>
    </xf>
    <xf numFmtId="0" fontId="0" fillId="10" borderId="0" xfId="0" applyFont="1" applyFill="1" applyAlignment="1">
      <alignment horizontal="centerContinuous"/>
    </xf>
    <xf numFmtId="0" fontId="0" fillId="4" borderId="0" xfId="0" applyFont="1" applyFill="1" applyAlignment="1">
      <alignment horizontal="centerContinuous"/>
    </xf>
    <xf numFmtId="0" fontId="0" fillId="11" borderId="0" xfId="0" applyFont="1" applyFill="1" applyAlignment="1">
      <alignment horizontal="centerContinuous"/>
    </xf>
    <xf numFmtId="0" fontId="0" fillId="12" borderId="0" xfId="0" applyFont="1" applyFill="1" applyAlignment="1">
      <alignment horizontal="centerContinuous"/>
    </xf>
    <xf numFmtId="0" fontId="0" fillId="13" borderId="0" xfId="0" applyFont="1" applyFill="1" applyAlignment="1">
      <alignment horizontal="centerContinuous"/>
    </xf>
    <xf numFmtId="0" fontId="0" fillId="14" borderId="0" xfId="0" applyFont="1" applyFill="1" applyAlignment="1" applyProtection="1">
      <alignment horizontal="center"/>
      <protection/>
    </xf>
    <xf numFmtId="0" fontId="16" fillId="25" borderId="0" xfId="0" applyFont="1" applyFill="1" applyAlignment="1" applyProtection="1">
      <alignment horizontal="centerContinuous"/>
      <protection/>
    </xf>
    <xf numFmtId="0" fontId="16" fillId="25" borderId="0" xfId="0" applyFont="1" applyFill="1" applyAlignment="1">
      <alignment horizontal="centerContinuous"/>
    </xf>
    <xf numFmtId="0" fontId="16" fillId="26" borderId="0" xfId="0" applyFont="1" applyFill="1" applyAlignment="1" applyProtection="1">
      <alignment horizontal="centerContinuous"/>
      <protection/>
    </xf>
    <xf numFmtId="0" fontId="16" fillId="26" borderId="0" xfId="0" applyFont="1" applyFill="1" applyAlignment="1">
      <alignment horizontal="centerContinuous"/>
    </xf>
    <xf numFmtId="0" fontId="0" fillId="7" borderId="0" xfId="0" applyFont="1" applyFill="1" applyAlignment="1" applyProtection="1">
      <alignment horizontal="center"/>
      <protection/>
    </xf>
    <xf numFmtId="0" fontId="16" fillId="24" borderId="0" xfId="0" applyFont="1" applyFill="1" applyAlignment="1" applyProtection="1">
      <alignment horizontal="centerContinuous"/>
      <protection/>
    </xf>
    <xf numFmtId="0" fontId="16" fillId="24" borderId="0" xfId="0" applyFont="1" applyFill="1" applyAlignment="1">
      <alignment horizontal="centerContinuous"/>
    </xf>
    <xf numFmtId="0" fontId="0" fillId="12" borderId="0" xfId="0" applyFont="1" applyFill="1" applyAlignment="1" applyProtection="1">
      <alignment horizontal="center"/>
      <protection/>
    </xf>
    <xf numFmtId="0" fontId="16" fillId="27" borderId="0" xfId="0" applyFont="1" applyFill="1" applyAlignment="1" applyProtection="1">
      <alignment horizontal="centerContinuous"/>
      <protection/>
    </xf>
    <xf numFmtId="0" fontId="16" fillId="27" borderId="0" xfId="0" applyFont="1" applyFill="1" applyAlignment="1">
      <alignment horizontal="centerContinuous"/>
    </xf>
    <xf numFmtId="0" fontId="18" fillId="15" borderId="0" xfId="0" applyFont="1" applyFill="1" applyAlignment="1" applyProtection="1">
      <alignment horizontal="centerContinuous"/>
      <protection locked="0"/>
    </xf>
    <xf numFmtId="0" fontId="28" fillId="15" borderId="0" xfId="0" applyFont="1" applyFill="1" applyAlignment="1">
      <alignment horizontal="centerContinuous"/>
    </xf>
    <xf numFmtId="0" fontId="28" fillId="16" borderId="0" xfId="0" applyFont="1" applyFill="1" applyAlignment="1">
      <alignment horizontal="centerContinuous"/>
    </xf>
    <xf numFmtId="0" fontId="29" fillId="3" borderId="0" xfId="0" applyFont="1" applyFill="1" applyAlignment="1" applyProtection="1">
      <alignment horizontal="centerContinuous"/>
      <protection locked="0"/>
    </xf>
    <xf numFmtId="0" fontId="0" fillId="3" borderId="0" xfId="0" applyFont="1" applyFill="1" applyAlignment="1">
      <alignment horizontal="centerContinuous"/>
    </xf>
    <xf numFmtId="0" fontId="31" fillId="2" borderId="0" xfId="0" applyFont="1" applyFill="1" applyAlignment="1" applyProtection="1">
      <alignment horizontal="centerContinuous"/>
      <protection/>
    </xf>
    <xf numFmtId="0" fontId="16" fillId="2" borderId="0" xfId="0" applyFont="1" applyFill="1" applyAlignment="1">
      <alignment horizontal="centerContinuous"/>
    </xf>
    <xf numFmtId="0" fontId="32" fillId="19" borderId="0" xfId="0" applyFont="1" applyFill="1" applyAlignment="1" applyProtection="1">
      <alignment horizontal="center"/>
      <protection/>
    </xf>
    <xf numFmtId="0" fontId="17" fillId="17" borderId="0" xfId="0" applyFont="1" applyFill="1" applyAlignment="1" applyProtection="1">
      <alignment horizontal="centerContinuous" vertical="top"/>
      <protection/>
    </xf>
    <xf numFmtId="0" fontId="17" fillId="17" borderId="0" xfId="0" applyFont="1" applyFill="1" applyAlignment="1">
      <alignment horizontal="centerContinuous" vertical="top"/>
    </xf>
    <xf numFmtId="0" fontId="17" fillId="18" borderId="0" xfId="0" applyFont="1" applyFill="1" applyAlignment="1" applyProtection="1">
      <alignment horizontal="centerContinuous" vertical="top"/>
      <protection/>
    </xf>
    <xf numFmtId="0" fontId="17" fillId="18" borderId="0" xfId="0" applyFont="1" applyFill="1" applyAlignment="1">
      <alignment horizontal="centerContinuous" vertical="top"/>
    </xf>
    <xf numFmtId="0" fontId="17" fillId="19" borderId="0" xfId="0" applyFont="1" applyFill="1" applyAlignment="1" applyProtection="1">
      <alignment horizontal="centerContinuous" vertical="top"/>
      <protection/>
    </xf>
    <xf numFmtId="0" fontId="17" fillId="19" borderId="0" xfId="0" applyFont="1" applyFill="1" applyAlignment="1">
      <alignment horizontal="centerContinuous" vertical="top"/>
    </xf>
    <xf numFmtId="0" fontId="20" fillId="9" borderId="0" xfId="0" applyFont="1" applyFill="1" applyAlignment="1">
      <alignment horizontal="centerContinuous" vertical="top"/>
    </xf>
    <xf numFmtId="0" fontId="33" fillId="20" borderId="0" xfId="0" applyFont="1" applyFill="1" applyAlignment="1" applyProtection="1">
      <alignment horizontal="centerContinuous" vertical="top"/>
      <protection locked="0"/>
    </xf>
    <xf numFmtId="0" fontId="16" fillId="20" borderId="0" xfId="0" applyFont="1" applyFill="1" applyAlignment="1">
      <alignment horizontal="centerContinuous" vertical="top"/>
    </xf>
    <xf numFmtId="0" fontId="34" fillId="21" borderId="0" xfId="0" applyFont="1" applyFill="1" applyAlignment="1" applyProtection="1">
      <alignment horizontal="centerContinuous" vertical="top"/>
      <protection locked="0"/>
    </xf>
    <xf numFmtId="0" fontId="0" fillId="21" borderId="0" xfId="0" applyFont="1" applyFill="1" applyAlignment="1">
      <alignment horizontal="centerContinuous"/>
    </xf>
    <xf numFmtId="0" fontId="0" fillId="21" borderId="0" xfId="0" applyFont="1" applyFill="1" applyAlignment="1" applyProtection="1">
      <alignment horizontal="centerContinuous"/>
      <protection/>
    </xf>
    <xf numFmtId="0" fontId="33" fillId="22" borderId="0" xfId="0" applyFont="1" applyFill="1" applyAlignment="1" applyProtection="1">
      <alignment horizontal="centerContinuous" vertical="top"/>
      <protection locked="0"/>
    </xf>
    <xf numFmtId="0" fontId="0" fillId="12" borderId="0" xfId="0" applyFont="1" applyFill="1" applyAlignment="1" applyProtection="1">
      <alignment horizontal="centerContinuous"/>
      <protection/>
    </xf>
    <xf numFmtId="37" fontId="0" fillId="12" borderId="0" xfId="0" applyNumberFormat="1" applyFont="1" applyFill="1" applyAlignment="1" applyProtection="1">
      <alignment horizontal="centerContinuous"/>
      <protection/>
    </xf>
    <xf numFmtId="0" fontId="35" fillId="12" borderId="0" xfId="0" applyFont="1" applyFill="1" applyAlignment="1" applyProtection="1">
      <alignment horizontal="centerContinuous"/>
      <protection/>
    </xf>
    <xf numFmtId="0" fontId="36" fillId="28" borderId="0" xfId="0" applyFont="1" applyFill="1" applyAlignment="1" applyProtection="1">
      <alignment horizontal="centerContinuous" vertical="top"/>
      <protection locked="0"/>
    </xf>
    <xf numFmtId="0" fontId="24" fillId="28" borderId="0" xfId="0" applyFont="1" applyFill="1" applyAlignment="1" applyProtection="1">
      <alignment horizontal="center" wrapText="1"/>
      <protection/>
    </xf>
    <xf numFmtId="0" fontId="37" fillId="17" borderId="0" xfId="0" applyFont="1" applyFill="1" applyAlignment="1" applyProtection="1">
      <alignment horizontal="centerContinuous" vertical="center"/>
      <protection locked="0"/>
    </xf>
    <xf numFmtId="0" fontId="38" fillId="17" borderId="0" xfId="0" applyFont="1" applyFill="1" applyAlignment="1">
      <alignment horizontal="centerContinuous" vertical="center"/>
    </xf>
    <xf numFmtId="0" fontId="39" fillId="17" borderId="0" xfId="0" applyFont="1" applyFill="1" applyAlignment="1">
      <alignment horizontal="centerContinuous"/>
    </xf>
    <xf numFmtId="0" fontId="26" fillId="17" borderId="0" xfId="0" applyFont="1" applyFill="1" applyAlignment="1">
      <alignment horizontal="centerContinuous"/>
    </xf>
    <xf numFmtId="0" fontId="40" fillId="5" borderId="0" xfId="0" applyFont="1" applyFill="1" applyAlignment="1">
      <alignment/>
    </xf>
    <xf numFmtId="0" fontId="0" fillId="0" borderId="0" xfId="0" applyFont="1" applyAlignment="1">
      <alignment horizontal="centerContinuous"/>
    </xf>
    <xf numFmtId="0" fontId="0" fillId="6" borderId="0" xfId="0" applyFont="1" applyFill="1" applyAlignment="1">
      <alignment horizontal="centerContinuous" vertical="top" wrapText="1"/>
    </xf>
    <xf numFmtId="0" fontId="0" fillId="6" borderId="0" xfId="0" applyFont="1" applyFill="1" applyAlignment="1">
      <alignment horizontal="centerContinuous" vertical="top"/>
    </xf>
    <xf numFmtId="0" fontId="0" fillId="8" borderId="0" xfId="0" applyFont="1" applyFill="1" applyAlignment="1">
      <alignment horizontal="centerContinuous" vertical="top"/>
    </xf>
    <xf numFmtId="0" fontId="0" fillId="4" borderId="0" xfId="0" applyFont="1" applyFill="1" applyAlignment="1">
      <alignment/>
    </xf>
    <xf numFmtId="0" fontId="0" fillId="11" borderId="0" xfId="0" applyFont="1" applyFill="1" applyAlignment="1">
      <alignment/>
    </xf>
    <xf numFmtId="0" fontId="0" fillId="29" borderId="0" xfId="0" applyFont="1" applyFill="1" applyAlignment="1" applyProtection="1">
      <alignment horizontal="center"/>
      <protection/>
    </xf>
    <xf numFmtId="0" fontId="41" fillId="29" borderId="0" xfId="0" applyFont="1" applyFill="1" applyAlignment="1">
      <alignment horizontal="center"/>
    </xf>
    <xf numFmtId="0" fontId="41" fillId="29" borderId="0" xfId="0" applyFont="1" applyFill="1" applyAlignment="1">
      <alignment/>
    </xf>
    <xf numFmtId="0" fontId="41" fillId="29" borderId="0" xfId="0" applyFont="1" applyFill="1" applyAlignment="1" applyProtection="1">
      <alignment horizontal="center"/>
      <protection/>
    </xf>
    <xf numFmtId="167" fontId="41" fillId="29" borderId="0" xfId="0" applyNumberFormat="1" applyFont="1" applyFill="1" applyAlignment="1" applyProtection="1">
      <alignment/>
      <protection/>
    </xf>
    <xf numFmtId="0" fontId="0" fillId="30" borderId="0" xfId="0" applyFont="1" applyFill="1" applyAlignment="1" applyProtection="1">
      <alignment horizontal="center"/>
      <protection/>
    </xf>
    <xf numFmtId="0" fontId="41" fillId="30" borderId="0" xfId="0" applyFont="1" applyFill="1" applyAlignment="1">
      <alignment horizontal="center"/>
    </xf>
    <xf numFmtId="0" fontId="41" fillId="30" borderId="0" xfId="0" applyFont="1" applyFill="1" applyAlignment="1">
      <alignment/>
    </xf>
    <xf numFmtId="0" fontId="41" fillId="30" borderId="0" xfId="0" applyFont="1" applyFill="1" applyAlignment="1" applyProtection="1">
      <alignment horizontal="center"/>
      <protection/>
    </xf>
    <xf numFmtId="0" fontId="0" fillId="27" borderId="0" xfId="0" applyFont="1" applyFill="1" applyAlignment="1">
      <alignment/>
    </xf>
    <xf numFmtId="0" fontId="0" fillId="15" borderId="0" xfId="0" applyFont="1" applyFill="1" applyAlignment="1" applyProtection="1">
      <alignment horizontal="center"/>
      <protection/>
    </xf>
    <xf numFmtId="0" fontId="0" fillId="15" borderId="0" xfId="0" applyFont="1" applyFill="1" applyAlignment="1" applyProtection="1" quotePrefix="1">
      <alignment horizontal="center"/>
      <protection/>
    </xf>
    <xf numFmtId="0" fontId="0" fillId="16" borderId="0" xfId="0" applyFont="1" applyFill="1" applyAlignment="1" applyProtection="1" quotePrefix="1">
      <alignment horizontal="center"/>
      <protection/>
    </xf>
    <xf numFmtId="0" fontId="41" fillId="17" borderId="0" xfId="0" applyFont="1" applyFill="1" applyAlignment="1">
      <alignment/>
    </xf>
    <xf numFmtId="0" fontId="0" fillId="31" borderId="0" xfId="0" applyFont="1" applyFill="1" applyAlignment="1">
      <alignment/>
    </xf>
    <xf numFmtId="0" fontId="41" fillId="18" borderId="0" xfId="0" applyFont="1" applyFill="1" applyAlignment="1">
      <alignment/>
    </xf>
    <xf numFmtId="0" fontId="41" fillId="19" borderId="0" xfId="0" applyFont="1" applyFill="1" applyAlignment="1">
      <alignment/>
    </xf>
    <xf numFmtId="0" fontId="42" fillId="32" borderId="0" xfId="0" applyFont="1" applyFill="1" applyAlignment="1" applyProtection="1">
      <alignment horizontal="center"/>
      <protection/>
    </xf>
    <xf numFmtId="0" fontId="24" fillId="33" borderId="0" xfId="0" applyFont="1" applyFill="1" applyAlignment="1">
      <alignment vertical="center"/>
    </xf>
    <xf numFmtId="0" fontId="24" fillId="33" borderId="0" xfId="0" applyFont="1" applyFill="1" applyAlignment="1" applyProtection="1">
      <alignment horizontal="center"/>
      <protection/>
    </xf>
    <xf numFmtId="0" fontId="24" fillId="8" borderId="0" xfId="0" applyFont="1" applyFill="1" applyAlignment="1">
      <alignment vertical="center"/>
    </xf>
    <xf numFmtId="0" fontId="24" fillId="8" borderId="0" xfId="0" applyFont="1" applyFill="1" applyAlignment="1" applyProtection="1">
      <alignment horizontal="center"/>
      <protection/>
    </xf>
    <xf numFmtId="0" fontId="24" fillId="8" borderId="0" xfId="0" applyFont="1" applyFill="1" applyAlignment="1" applyProtection="1">
      <alignment horizontal="centerContinuous"/>
      <protection/>
    </xf>
    <xf numFmtId="0" fontId="24" fillId="8" borderId="0" xfId="0" applyFont="1" applyFill="1" applyAlignment="1">
      <alignment horizontal="center"/>
    </xf>
    <xf numFmtId="0" fontId="24" fillId="33" borderId="0" xfId="0" applyFont="1" applyFill="1" applyAlignment="1" applyProtection="1">
      <alignment horizontal="centerContinuous"/>
      <protection/>
    </xf>
    <xf numFmtId="0" fontId="24" fillId="33" borderId="0" xfId="0" applyFont="1" applyFill="1" applyAlignment="1">
      <alignment horizontal="center"/>
    </xf>
    <xf numFmtId="0" fontId="24" fillId="33" borderId="0" xfId="0" applyFont="1" applyFill="1" applyAlignment="1">
      <alignment/>
    </xf>
    <xf numFmtId="0" fontId="24" fillId="28" borderId="0" xfId="0" applyFont="1" applyFill="1" applyAlignment="1">
      <alignment vertical="center"/>
    </xf>
    <xf numFmtId="0" fontId="24" fillId="28" borderId="0" xfId="0" applyFont="1" applyFill="1" applyAlignment="1" applyProtection="1">
      <alignment horizontal="center" vertical="top" wrapText="1"/>
      <protection/>
    </xf>
    <xf numFmtId="0" fontId="43" fillId="17" borderId="0" xfId="0" applyFont="1" applyFill="1" applyAlignment="1">
      <alignment horizontal="centerContinuous" wrapText="1"/>
    </xf>
    <xf numFmtId="0" fontId="0" fillId="17" borderId="0" xfId="0" applyFont="1" applyFill="1" applyAlignment="1">
      <alignment horizontal="centerContinuous" wrapText="1"/>
    </xf>
    <xf numFmtId="0" fontId="40" fillId="5" borderId="0" xfId="0" applyFont="1" applyFill="1" applyAlignment="1" applyProtection="1">
      <alignment horizontal="center"/>
      <protection locked="0"/>
    </xf>
    <xf numFmtId="0" fontId="44" fillId="6" borderId="0" xfId="0" applyFont="1" applyFill="1" applyAlignment="1" applyProtection="1">
      <alignment horizontal="left"/>
      <protection locked="0"/>
    </xf>
    <xf numFmtId="0" fontId="45" fillId="7" borderId="0" xfId="0" applyFont="1" applyFill="1" applyAlignment="1">
      <alignment horizontal="centerContinuous"/>
    </xf>
    <xf numFmtId="0" fontId="46" fillId="7" borderId="0" xfId="0" applyFont="1" applyFill="1" applyAlignment="1">
      <alignment/>
    </xf>
    <xf numFmtId="0" fontId="0" fillId="8" borderId="0" xfId="0" applyFont="1" applyFill="1" applyAlignment="1">
      <alignment/>
    </xf>
    <xf numFmtId="0" fontId="0" fillId="9" borderId="0" xfId="0" applyFont="1" applyFill="1" applyAlignment="1">
      <alignment/>
    </xf>
    <xf numFmtId="0" fontId="0" fillId="10" borderId="0" xfId="0" applyFont="1" applyFill="1" applyAlignment="1">
      <alignment/>
    </xf>
    <xf numFmtId="0" fontId="0" fillId="4" borderId="0" xfId="0" applyFont="1" applyFill="1" applyAlignment="1">
      <alignment/>
    </xf>
    <xf numFmtId="0" fontId="0" fillId="11" borderId="0" xfId="0" applyFont="1" applyFill="1" applyAlignment="1">
      <alignment/>
    </xf>
    <xf numFmtId="0" fontId="0" fillId="13" borderId="0" xfId="0" applyFont="1" applyFill="1" applyAlignment="1">
      <alignment/>
    </xf>
    <xf numFmtId="0" fontId="41" fillId="34" borderId="0" xfId="0" applyFont="1" applyFill="1" applyAlignment="1" applyProtection="1">
      <alignment horizontal="center"/>
      <protection/>
    </xf>
    <xf numFmtId="0" fontId="41" fillId="34" borderId="0" xfId="0" applyFont="1" applyFill="1" applyAlignment="1">
      <alignment horizontal="center"/>
    </xf>
    <xf numFmtId="0" fontId="47" fillId="34" borderId="0" xfId="0" applyFont="1" applyFill="1" applyAlignment="1" applyProtection="1">
      <alignment horizontal="centerContinuous"/>
      <protection/>
    </xf>
    <xf numFmtId="37" fontId="25" fillId="0" borderId="0" xfId="0" applyNumberFormat="1" applyFont="1" applyFill="1" applyAlignment="1" applyProtection="1">
      <alignment horizontal="center"/>
      <protection/>
    </xf>
    <xf numFmtId="37" fontId="0" fillId="16" borderId="0" xfId="0" applyNumberFormat="1" applyFont="1" applyFill="1" applyAlignment="1" applyProtection="1">
      <alignment horizontal="center"/>
      <protection/>
    </xf>
    <xf numFmtId="0" fontId="0" fillId="2" borderId="0" xfId="0" applyFont="1" applyFill="1" applyAlignment="1">
      <alignment horizontal="center"/>
    </xf>
    <xf numFmtId="0" fontId="0" fillId="2" borderId="0" xfId="0" applyFont="1" applyFill="1" applyAlignment="1">
      <alignment horizontal="left"/>
    </xf>
    <xf numFmtId="37" fontId="44" fillId="15" borderId="0" xfId="0" applyNumberFormat="1" applyFont="1" applyFill="1" applyAlignment="1" applyProtection="1">
      <alignment/>
      <protection locked="0"/>
    </xf>
    <xf numFmtId="0" fontId="0" fillId="9" borderId="0" xfId="0" applyFont="1" applyFill="1" applyAlignment="1" applyProtection="1">
      <alignment horizontal="center"/>
      <protection/>
    </xf>
    <xf numFmtId="0" fontId="24" fillId="33" borderId="0" xfId="0" applyFont="1" applyFill="1" applyAlignment="1" applyProtection="1">
      <alignment horizontal="center" vertical="top"/>
      <protection/>
    </xf>
    <xf numFmtId="0" fontId="24" fillId="8" borderId="0" xfId="0" applyFont="1" applyFill="1" applyAlignment="1" applyProtection="1">
      <alignment horizontal="center" vertical="top"/>
      <protection/>
    </xf>
    <xf numFmtId="0" fontId="24" fillId="8" borderId="0" xfId="0" applyFont="1" applyFill="1" applyAlignment="1">
      <alignment horizontal="center" vertical="top"/>
    </xf>
    <xf numFmtId="0" fontId="24" fillId="33" borderId="0" xfId="0" applyFont="1" applyFill="1" applyAlignment="1">
      <alignment horizontal="center" vertical="top"/>
    </xf>
    <xf numFmtId="9" fontId="24" fillId="28" borderId="0" xfId="0" applyNumberFormat="1" applyFont="1" applyFill="1" applyAlignment="1" applyProtection="1">
      <alignment horizontal="center" vertical="top"/>
      <protection/>
    </xf>
    <xf numFmtId="0" fontId="25" fillId="24" borderId="0" xfId="0" applyFont="1" applyFill="1" applyAlignment="1">
      <alignment horizontal="center"/>
    </xf>
    <xf numFmtId="3" fontId="25" fillId="0" borderId="0" xfId="0" applyNumberFormat="1" applyFont="1" applyFill="1" applyAlignment="1">
      <alignment/>
    </xf>
    <xf numFmtId="0" fontId="0" fillId="3" borderId="0" xfId="0" applyFont="1" applyFill="1" applyAlignment="1">
      <alignment horizontal="center"/>
    </xf>
    <xf numFmtId="0" fontId="43" fillId="17" borderId="0" xfId="0" applyFont="1" applyFill="1" applyAlignment="1">
      <alignment horizontal="centerContinuous" vertical="top" wrapText="1"/>
    </xf>
    <xf numFmtId="0" fontId="0" fillId="17" borderId="0" xfId="0" applyFont="1" applyFill="1" applyAlignment="1">
      <alignment horizontal="centerContinuous" vertical="top"/>
    </xf>
    <xf numFmtId="0" fontId="40" fillId="5" borderId="0" xfId="0" applyFont="1" applyFill="1" applyAlignment="1">
      <alignment horizontal="center"/>
    </xf>
    <xf numFmtId="0" fontId="48" fillId="8" borderId="0" xfId="0" applyFont="1" applyFill="1" applyAlignment="1" applyProtection="1">
      <alignment horizontal="center"/>
      <protection/>
    </xf>
    <xf numFmtId="0" fontId="46" fillId="6" borderId="0" xfId="0" applyFont="1" applyFill="1" applyAlignment="1" applyProtection="1">
      <alignment horizontal="center"/>
      <protection/>
    </xf>
    <xf numFmtId="0" fontId="49" fillId="6" borderId="0" xfId="0" applyFont="1" applyFill="1" applyAlignment="1" applyProtection="1">
      <alignment horizontal="center"/>
      <protection/>
    </xf>
    <xf numFmtId="0" fontId="50" fillId="27" borderId="0" xfId="0" applyFont="1" applyFill="1" applyAlignment="1" applyProtection="1">
      <alignment horizontal="center"/>
      <protection/>
    </xf>
    <xf numFmtId="0" fontId="41" fillId="35" borderId="0" xfId="0" applyFont="1" applyFill="1" applyAlignment="1" applyProtection="1">
      <alignment horizontal="center"/>
      <protection/>
    </xf>
    <xf numFmtId="0" fontId="41" fillId="36" borderId="0" xfId="0" applyFont="1" applyFill="1" applyAlignment="1" applyProtection="1">
      <alignment horizontal="center"/>
      <protection/>
    </xf>
    <xf numFmtId="0" fontId="25" fillId="10" borderId="0" xfId="0" applyFont="1" applyFill="1" applyAlignment="1" applyProtection="1">
      <alignment horizontal="center"/>
      <protection/>
    </xf>
    <xf numFmtId="0" fontId="0" fillId="10" borderId="0" xfId="0" applyFont="1" applyFill="1" applyAlignment="1" applyProtection="1">
      <alignment horizontal="center"/>
      <protection/>
    </xf>
    <xf numFmtId="0" fontId="41" fillId="29" borderId="0" xfId="0" applyFont="1" applyFill="1" applyAlignment="1" applyProtection="1" quotePrefix="1">
      <alignment horizontal="center"/>
      <protection/>
    </xf>
    <xf numFmtId="0" fontId="41" fillId="30" borderId="0" xfId="0" applyFont="1" applyFill="1" applyAlignment="1" applyProtection="1" quotePrefix="1">
      <alignment horizontal="center"/>
      <protection/>
    </xf>
    <xf numFmtId="0" fontId="41" fillId="34" borderId="0" xfId="0" applyFont="1" applyFill="1" applyAlignment="1" applyProtection="1" quotePrefix="1">
      <alignment horizontal="center"/>
      <protection/>
    </xf>
    <xf numFmtId="0" fontId="47" fillId="34" borderId="0" xfId="0" applyFont="1" applyFill="1" applyAlignment="1" applyProtection="1">
      <alignment horizontal="center"/>
      <protection/>
    </xf>
    <xf numFmtId="0" fontId="25" fillId="15" borderId="0" xfId="0" applyFont="1" applyFill="1" applyAlignment="1" applyProtection="1" quotePrefix="1">
      <alignment horizontal="center"/>
      <protection/>
    </xf>
    <xf numFmtId="0" fontId="0" fillId="2" borderId="0" xfId="0" applyFont="1" applyFill="1" applyAlignment="1" applyProtection="1">
      <alignment horizontal="center"/>
      <protection/>
    </xf>
    <xf numFmtId="0" fontId="41" fillId="17" borderId="0" xfId="0" applyFont="1" applyFill="1" applyAlignment="1" applyProtection="1">
      <alignment horizontal="center"/>
      <protection/>
    </xf>
    <xf numFmtId="0" fontId="0" fillId="3" borderId="0" xfId="0" applyFont="1" applyFill="1" applyAlignment="1" applyProtection="1">
      <alignment horizontal="center"/>
      <protection/>
    </xf>
    <xf numFmtId="0" fontId="41" fillId="18" borderId="0" xfId="0" applyFont="1" applyFill="1" applyAlignment="1" applyProtection="1">
      <alignment horizontal="center"/>
      <protection/>
    </xf>
    <xf numFmtId="0" fontId="41" fillId="19" borderId="0" xfId="0" applyFont="1" applyFill="1" applyAlignment="1" applyProtection="1">
      <alignment horizontal="center"/>
      <protection/>
    </xf>
    <xf numFmtId="0" fontId="24" fillId="33" borderId="0" xfId="0" applyFont="1" applyFill="1" applyAlignment="1" applyProtection="1">
      <alignment horizontal="center" vertical="center"/>
      <protection/>
    </xf>
    <xf numFmtId="0" fontId="24" fillId="8" borderId="0" xfId="0" applyFont="1" applyFill="1" applyAlignment="1" applyProtection="1">
      <alignment horizontal="center" vertical="center"/>
      <protection/>
    </xf>
    <xf numFmtId="0" fontId="51" fillId="8" borderId="0" xfId="0" applyFont="1" applyFill="1" applyAlignment="1" applyProtection="1">
      <alignment horizontal="center"/>
      <protection/>
    </xf>
    <xf numFmtId="0" fontId="24" fillId="28" borderId="0" xfId="0" applyFont="1" applyFill="1" applyAlignment="1" applyProtection="1">
      <alignment horizontal="center" vertical="center"/>
      <protection/>
    </xf>
    <xf numFmtId="0" fontId="24" fillId="28" borderId="0" xfId="0" applyFont="1" applyFill="1" applyAlignment="1" applyProtection="1">
      <alignment horizontal="center"/>
      <protection/>
    </xf>
    <xf numFmtId="0" fontId="24" fillId="28" borderId="0" xfId="0" applyFont="1" applyFill="1" applyAlignment="1" applyProtection="1" quotePrefix="1">
      <alignment horizontal="center"/>
      <protection/>
    </xf>
    <xf numFmtId="0" fontId="25" fillId="3" borderId="0" xfId="0" applyFont="1" applyFill="1" applyAlignment="1">
      <alignment/>
    </xf>
    <xf numFmtId="0" fontId="0" fillId="37" borderId="0" xfId="0" applyFont="1" applyFill="1" applyAlignment="1">
      <alignment/>
    </xf>
    <xf numFmtId="37" fontId="44" fillId="6" borderId="0" xfId="0" applyNumberFormat="1" applyFont="1" applyFill="1" applyAlignment="1" applyProtection="1">
      <alignment horizontal="left"/>
      <protection locked="0"/>
    </xf>
    <xf numFmtId="0" fontId="0" fillId="7" borderId="0" xfId="0" applyFont="1" applyFill="1" applyAlignment="1">
      <alignment/>
    </xf>
    <xf numFmtId="0" fontId="0" fillId="8"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11" borderId="0" xfId="0" applyFont="1" applyFill="1" applyAlignment="1" applyProtection="1">
      <alignment horizontal="center"/>
      <protection/>
    </xf>
    <xf numFmtId="0" fontId="0" fillId="13" borderId="0" xfId="0" applyFont="1" applyFill="1" applyAlignment="1" applyProtection="1">
      <alignment horizontal="center"/>
      <protection/>
    </xf>
    <xf numFmtId="0" fontId="0" fillId="14" borderId="0" xfId="0" applyFont="1" applyFill="1" applyAlignment="1">
      <alignment/>
    </xf>
    <xf numFmtId="0" fontId="0" fillId="25" borderId="0" xfId="0" applyFont="1" applyFill="1" applyAlignment="1" applyProtection="1">
      <alignment horizontal="center"/>
      <protection/>
    </xf>
    <xf numFmtId="0" fontId="41" fillId="25" borderId="0" xfId="0" applyFont="1" applyFill="1" applyAlignment="1" applyProtection="1">
      <alignment horizontal="center"/>
      <protection/>
    </xf>
    <xf numFmtId="0" fontId="41" fillId="26" borderId="0" xfId="0" applyFont="1" applyFill="1" applyAlignment="1" applyProtection="1">
      <alignment horizontal="center"/>
      <protection/>
    </xf>
    <xf numFmtId="0" fontId="41" fillId="24" borderId="0" xfId="0" applyFont="1" applyFill="1" applyAlignment="1" applyProtection="1">
      <alignment horizontal="center"/>
      <protection/>
    </xf>
    <xf numFmtId="0" fontId="0" fillId="27" borderId="0" xfId="0" applyFont="1" applyFill="1" applyAlignment="1" applyProtection="1">
      <alignment horizontal="center"/>
      <protection/>
    </xf>
    <xf numFmtId="169" fontId="25" fillId="0" borderId="0" xfId="0" applyNumberFormat="1" applyFont="1" applyFill="1" applyAlignment="1" applyProtection="1">
      <alignment horizontal="center"/>
      <protection/>
    </xf>
    <xf numFmtId="170" fontId="0" fillId="16" borderId="0" xfId="0" applyNumberFormat="1" applyFont="1" applyFill="1" applyAlignment="1">
      <alignment horizontal="center"/>
    </xf>
    <xf numFmtId="0" fontId="18" fillId="3" borderId="0" xfId="0" applyFont="1" applyFill="1" applyAlignment="1" applyProtection="1">
      <alignment horizontal="centerContinuous"/>
      <protection/>
    </xf>
    <xf numFmtId="9" fontId="0" fillId="3" borderId="0" xfId="0" applyNumberFormat="1" applyFont="1" applyFill="1" applyAlignment="1" applyProtection="1">
      <alignment horizontal="centerContinuous"/>
      <protection/>
    </xf>
    <xf numFmtId="0" fontId="44" fillId="15" borderId="0" xfId="0" applyFont="1" applyFill="1" applyAlignment="1">
      <alignment/>
    </xf>
    <xf numFmtId="171" fontId="0" fillId="9" borderId="0" xfId="0" applyNumberFormat="1" applyFont="1" applyFill="1" applyAlignment="1">
      <alignment/>
    </xf>
    <xf numFmtId="171" fontId="0" fillId="20" borderId="0" xfId="0" applyNumberFormat="1" applyFont="1" applyFill="1" applyAlignment="1">
      <alignment/>
    </xf>
    <xf numFmtId="2" fontId="0" fillId="20" borderId="0" xfId="0" applyNumberFormat="1" applyFont="1" applyFill="1" applyAlignment="1" applyProtection="1">
      <alignment horizontal="center"/>
      <protection/>
    </xf>
    <xf numFmtId="37" fontId="0" fillId="21" borderId="0" xfId="0" applyNumberFormat="1" applyFont="1" applyFill="1" applyAlignment="1" applyProtection="1">
      <alignment/>
      <protection/>
    </xf>
    <xf numFmtId="41" fontId="0" fillId="12" borderId="0" xfId="0" applyNumberFormat="1" applyFont="1" applyFill="1" applyAlignment="1" applyProtection="1">
      <alignment horizontal="center"/>
      <protection/>
    </xf>
    <xf numFmtId="0" fontId="0" fillId="23" borderId="0" xfId="0" applyFont="1" applyFill="1" applyAlignment="1">
      <alignment/>
    </xf>
    <xf numFmtId="41" fontId="0" fillId="23" borderId="0" xfId="0" applyNumberFormat="1" applyFont="1" applyFill="1" applyAlignment="1" applyProtection="1">
      <alignment horizontal="center"/>
      <protection/>
    </xf>
    <xf numFmtId="0" fontId="0" fillId="23" borderId="0" xfId="0" applyFont="1" applyFill="1" applyAlignment="1" applyProtection="1">
      <alignment horizontal="center"/>
      <protection/>
    </xf>
    <xf numFmtId="0" fontId="0" fillId="24" borderId="0" xfId="0" applyFont="1" applyFill="1" applyAlignment="1">
      <alignment horizontal="center"/>
    </xf>
    <xf numFmtId="0" fontId="0" fillId="24" borderId="0" xfId="0" applyFont="1" applyFill="1" applyAlignment="1">
      <alignment/>
    </xf>
    <xf numFmtId="0" fontId="52" fillId="14" borderId="0" xfId="0" applyFont="1" applyFill="1" applyAlignment="1">
      <alignment horizontal="center" vertical="top"/>
    </xf>
    <xf numFmtId="0" fontId="52" fillId="38" borderId="0" xfId="0" applyFont="1" applyFill="1" applyAlignment="1">
      <alignment horizontal="center" vertical="top"/>
    </xf>
    <xf numFmtId="0" fontId="44" fillId="0" borderId="0" xfId="0" applyFont="1" applyAlignment="1">
      <alignment horizontal="center"/>
    </xf>
    <xf numFmtId="0" fontId="44" fillId="0" borderId="0" xfId="0" applyFont="1" applyAlignment="1" applyProtection="1">
      <alignment horizontal="center"/>
      <protection locked="0"/>
    </xf>
    <xf numFmtId="171" fontId="25" fillId="6" borderId="0" xfId="0" applyNumberFormat="1" applyFont="1" applyFill="1" applyAlignment="1" applyProtection="1">
      <alignment horizontal="center"/>
      <protection locked="0"/>
    </xf>
    <xf numFmtId="171" fontId="25" fillId="7" borderId="0" xfId="0" applyNumberFormat="1" applyFont="1" applyFill="1" applyAlignment="1" applyProtection="1">
      <alignment horizontal="center"/>
      <protection locked="0"/>
    </xf>
    <xf numFmtId="171" fontId="25" fillId="8" borderId="0" xfId="0" applyNumberFormat="1" applyFont="1" applyFill="1" applyAlignment="1" applyProtection="1">
      <alignment horizontal="center"/>
      <protection locked="0"/>
    </xf>
    <xf numFmtId="171" fontId="25" fillId="9" borderId="0" xfId="0" applyNumberFormat="1" applyFont="1" applyFill="1" applyAlignment="1" applyProtection="1">
      <alignment horizontal="center"/>
      <protection locked="0"/>
    </xf>
    <xf numFmtId="171" fontId="25" fillId="10" borderId="0" xfId="0" applyNumberFormat="1" applyFont="1" applyFill="1" applyAlignment="1" applyProtection="1">
      <alignment horizontal="center"/>
      <protection locked="0"/>
    </xf>
    <xf numFmtId="171" fontId="25" fillId="4" borderId="0" xfId="0" applyNumberFormat="1" applyFont="1" applyFill="1" applyAlignment="1" applyProtection="1">
      <alignment horizontal="center"/>
      <protection locked="0"/>
    </xf>
    <xf numFmtId="171" fontId="25" fillId="11" borderId="0" xfId="0" applyNumberFormat="1" applyFont="1" applyFill="1" applyAlignment="1" applyProtection="1">
      <alignment horizontal="center"/>
      <protection locked="0"/>
    </xf>
    <xf numFmtId="171" fontId="25" fillId="12" borderId="0" xfId="0" applyNumberFormat="1" applyFont="1" applyFill="1" applyAlignment="1" applyProtection="1">
      <alignment horizontal="center"/>
      <protection locked="0"/>
    </xf>
    <xf numFmtId="171" fontId="25" fillId="13" borderId="0" xfId="0" applyNumberFormat="1" applyFont="1" applyFill="1" applyAlignment="1" applyProtection="1">
      <alignment horizontal="center"/>
      <protection locked="0"/>
    </xf>
    <xf numFmtId="171" fontId="25" fillId="14" borderId="0" xfId="0" applyNumberFormat="1" applyFont="1" applyFill="1" applyAlignment="1" applyProtection="1">
      <alignment horizontal="center"/>
      <protection locked="0"/>
    </xf>
    <xf numFmtId="171" fontId="0" fillId="25" borderId="0" xfId="0" applyNumberFormat="1" applyFont="1" applyFill="1" applyAlignment="1" applyProtection="1">
      <alignment/>
      <protection/>
    </xf>
    <xf numFmtId="171" fontId="0" fillId="25" borderId="0" xfId="0" applyNumberFormat="1" applyFont="1" applyFill="1" applyAlignment="1" applyProtection="1">
      <alignment/>
      <protection/>
    </xf>
    <xf numFmtId="171" fontId="0" fillId="26" borderId="0" xfId="0" applyNumberFormat="1" applyFont="1" applyFill="1" applyAlignment="1" applyProtection="1">
      <alignment/>
      <protection/>
    </xf>
    <xf numFmtId="171" fontId="25" fillId="24" borderId="0" xfId="0" applyNumberFormat="1" applyFont="1" applyFill="1" applyAlignment="1" applyProtection="1">
      <alignment/>
      <protection/>
    </xf>
    <xf numFmtId="171" fontId="25" fillId="27" borderId="0" xfId="0" applyNumberFormat="1" applyFont="1" applyFill="1" applyAlignment="1" applyProtection="1">
      <alignment/>
      <protection/>
    </xf>
    <xf numFmtId="169" fontId="25" fillId="15" borderId="0" xfId="0" applyNumberFormat="1" applyFont="1" applyFill="1" applyAlignment="1" applyProtection="1" quotePrefix="1">
      <alignment horizontal="center"/>
      <protection/>
    </xf>
    <xf numFmtId="0" fontId="0" fillId="16" borderId="0" xfId="0" applyFont="1" applyFill="1" applyAlignment="1">
      <alignment horizontal="center"/>
    </xf>
    <xf numFmtId="0" fontId="0" fillId="3" borderId="0" xfId="0" applyFont="1" applyFill="1" applyAlignment="1">
      <alignment horizontal="left"/>
    </xf>
    <xf numFmtId="168" fontId="0" fillId="3" borderId="0" xfId="0" applyNumberFormat="1" applyFont="1" applyFill="1" applyAlignment="1" applyProtection="1">
      <alignment horizontal="left"/>
      <protection/>
    </xf>
    <xf numFmtId="0" fontId="41" fillId="17" borderId="0" xfId="0" applyFont="1" applyFill="1" applyAlignment="1" applyProtection="1">
      <alignment/>
      <protection/>
    </xf>
    <xf numFmtId="171" fontId="44" fillId="9" borderId="0" xfId="0" applyNumberFormat="1" applyFont="1" applyFill="1" applyAlignment="1" applyProtection="1">
      <alignment/>
      <protection locked="0"/>
    </xf>
    <xf numFmtId="171" fontId="44" fillId="10" borderId="0" xfId="0" applyNumberFormat="1" applyFont="1" applyFill="1" applyAlignment="1" applyProtection="1">
      <alignment/>
      <protection locked="0"/>
    </xf>
    <xf numFmtId="171" fontId="44" fillId="18" borderId="0" xfId="0" applyNumberFormat="1" applyFont="1" applyFill="1" applyAlignment="1" applyProtection="1">
      <alignment/>
      <protection locked="0"/>
    </xf>
    <xf numFmtId="171" fontId="44" fillId="7" borderId="0" xfId="0" applyNumberFormat="1" applyFont="1" applyFill="1" applyAlignment="1" applyProtection="1">
      <alignment/>
      <protection locked="0"/>
    </xf>
    <xf numFmtId="171" fontId="44" fillId="3" borderId="0" xfId="0" applyNumberFormat="1" applyFont="1" applyFill="1" applyAlignment="1" applyProtection="1">
      <alignment/>
      <protection locked="0"/>
    </xf>
    <xf numFmtId="171" fontId="44" fillId="31" borderId="0" xfId="0" applyNumberFormat="1" applyFont="1" applyFill="1" applyAlignment="1" applyProtection="1">
      <alignment/>
      <protection locked="0"/>
    </xf>
    <xf numFmtId="0" fontId="41" fillId="18" borderId="0" xfId="0" applyFont="1" applyFill="1" applyAlignment="1" applyProtection="1">
      <alignment/>
      <protection/>
    </xf>
    <xf numFmtId="0" fontId="41" fillId="19" borderId="0" xfId="0" applyFont="1" applyFill="1" applyAlignment="1" applyProtection="1">
      <alignment/>
      <protection/>
    </xf>
    <xf numFmtId="0" fontId="53" fillId="20" borderId="0" xfId="0" applyFont="1" applyFill="1" applyAlignment="1" applyProtection="1">
      <alignment/>
      <protection/>
    </xf>
    <xf numFmtId="171" fontId="53" fillId="20" borderId="0" xfId="0" applyNumberFormat="1" applyFont="1" applyFill="1" applyAlignment="1" applyProtection="1">
      <alignment/>
      <protection/>
    </xf>
    <xf numFmtId="171" fontId="8" fillId="20" borderId="0" xfId="0" applyNumberFormat="1" applyFont="1" applyFill="1" applyAlignment="1" applyProtection="1">
      <alignment/>
      <protection locked="0"/>
    </xf>
    <xf numFmtId="39" fontId="53" fillId="20" borderId="0" xfId="0" applyNumberFormat="1" applyFont="1" applyFill="1" applyAlignment="1" applyProtection="1">
      <alignment/>
      <protection/>
    </xf>
    <xf numFmtId="0" fontId="53" fillId="21" borderId="0" xfId="0" applyFont="1" applyFill="1" applyAlignment="1" applyProtection="1">
      <alignment/>
      <protection/>
    </xf>
    <xf numFmtId="175" fontId="53" fillId="21" borderId="0" xfId="0" applyNumberFormat="1" applyFont="1" applyFill="1" applyAlignment="1" applyProtection="1">
      <alignment/>
      <protection/>
    </xf>
    <xf numFmtId="0" fontId="53" fillId="22" borderId="0" xfId="0" applyFont="1" applyFill="1" applyAlignment="1" applyProtection="1">
      <alignment/>
      <protection/>
    </xf>
    <xf numFmtId="175" fontId="53" fillId="12" borderId="0" xfId="0" applyNumberFormat="1" applyFont="1" applyFill="1" applyAlignment="1" applyProtection="1">
      <alignment/>
      <protection/>
    </xf>
    <xf numFmtId="0" fontId="53" fillId="23" borderId="0" xfId="0" applyFont="1" applyFill="1" applyAlignment="1" applyProtection="1">
      <alignment/>
      <protection/>
    </xf>
    <xf numFmtId="175" fontId="53" fillId="23" borderId="0" xfId="0" applyNumberFormat="1" applyFont="1" applyFill="1" applyAlignment="1" applyProtection="1">
      <alignment/>
      <protection/>
    </xf>
    <xf numFmtId="0" fontId="41" fillId="5" borderId="0" xfId="0" applyFont="1" applyFill="1" applyAlignment="1">
      <alignment horizontal="center"/>
    </xf>
    <xf numFmtId="0" fontId="44" fillId="0" borderId="0" xfId="0" applyFont="1" applyAlignment="1" quotePrefix="1">
      <alignment horizontal="center"/>
    </xf>
    <xf numFmtId="173" fontId="25" fillId="0" borderId="0" xfId="0" applyNumberFormat="1" applyFont="1" applyFill="1" applyAlignment="1" applyProtection="1">
      <alignment horizontal="center"/>
      <protection/>
    </xf>
    <xf numFmtId="168" fontId="0" fillId="16" borderId="0" xfId="0" applyNumberFormat="1" applyFont="1" applyFill="1" applyAlignment="1" applyProtection="1">
      <alignment horizontal="center"/>
      <protection/>
    </xf>
    <xf numFmtId="0" fontId="0" fillId="3" borderId="0" xfId="0" applyFont="1" applyFill="1" applyAlignment="1" applyProtection="1">
      <alignment horizontal="right"/>
      <protection/>
    </xf>
    <xf numFmtId="0" fontId="8" fillId="4" borderId="0" xfId="0" applyFont="1" applyFill="1" applyAlignment="1" applyProtection="1">
      <alignment horizontal="left"/>
      <protection locked="0"/>
    </xf>
    <xf numFmtId="178" fontId="25" fillId="0" borderId="0" xfId="0" applyNumberFormat="1" applyFont="1" applyFill="1" applyAlignment="1">
      <alignment/>
    </xf>
    <xf numFmtId="0" fontId="54" fillId="38" borderId="0" xfId="0" applyFont="1" applyFill="1" applyAlignment="1">
      <alignment horizontal="center"/>
    </xf>
    <xf numFmtId="0" fontId="55" fillId="31" borderId="0" xfId="0" applyFont="1" applyFill="1" applyAlignment="1">
      <alignment horizontal="center"/>
    </xf>
    <xf numFmtId="169" fontId="0" fillId="16" borderId="0" xfId="0" applyNumberFormat="1" applyFont="1" applyFill="1" applyAlignment="1" applyProtection="1" quotePrefix="1">
      <alignment horizontal="center"/>
      <protection/>
    </xf>
    <xf numFmtId="9" fontId="25" fillId="0" borderId="0" xfId="0" applyNumberFormat="1" applyFont="1" applyFill="1" applyAlignment="1" applyProtection="1">
      <alignment horizontal="center"/>
      <protection locked="0"/>
    </xf>
    <xf numFmtId="3" fontId="0" fillId="16" borderId="0" xfId="0" applyNumberFormat="1" applyFont="1" applyFill="1" applyAlignment="1">
      <alignment horizontal="center"/>
    </xf>
    <xf numFmtId="10" fontId="44" fillId="3" borderId="0" xfId="0" applyNumberFormat="1" applyFont="1" applyFill="1" applyAlignment="1" applyProtection="1">
      <alignment horizontal="left"/>
      <protection locked="0"/>
    </xf>
    <xf numFmtId="0" fontId="0" fillId="4" borderId="0" xfId="0" applyFont="1" applyFill="1" applyAlignment="1">
      <alignment horizontal="left"/>
    </xf>
    <xf numFmtId="39" fontId="44" fillId="15" borderId="0" xfId="0" applyNumberFormat="1" applyFont="1" applyFill="1" applyAlignment="1" applyProtection="1">
      <alignment/>
      <protection locked="0"/>
    </xf>
    <xf numFmtId="3" fontId="25" fillId="7" borderId="0" xfId="0" applyNumberFormat="1" applyFont="1" applyFill="1" applyAlignment="1">
      <alignment horizontal="center"/>
    </xf>
    <xf numFmtId="0" fontId="54" fillId="23" borderId="0" xfId="0" applyFont="1" applyFill="1" applyAlignment="1">
      <alignment horizontal="center"/>
    </xf>
    <xf numFmtId="3" fontId="25" fillId="0" borderId="0" xfId="0" applyNumberFormat="1" applyFont="1" applyFill="1" applyAlignment="1" applyProtection="1">
      <alignment horizontal="center"/>
      <protection/>
    </xf>
    <xf numFmtId="177" fontId="0" fillId="16" borderId="0" xfId="0" applyNumberFormat="1" applyFont="1" applyFill="1" applyAlignment="1" applyProtection="1">
      <alignment horizontal="center"/>
      <protection/>
    </xf>
    <xf numFmtId="0" fontId="0" fillId="3" borderId="0" xfId="0" applyFont="1" applyFill="1" applyAlignment="1">
      <alignment horizontal="right"/>
    </xf>
    <xf numFmtId="3" fontId="44" fillId="3" borderId="0" xfId="0" applyNumberFormat="1" applyFont="1" applyFill="1" applyAlignment="1">
      <alignment horizontal="left"/>
    </xf>
    <xf numFmtId="4" fontId="25" fillId="0" borderId="0" xfId="0" applyNumberFormat="1" applyFont="1" applyFill="1" applyAlignment="1">
      <alignment/>
    </xf>
    <xf numFmtId="0" fontId="54" fillId="7" borderId="0" xfId="0" applyFont="1" applyFill="1" applyAlignment="1">
      <alignment horizontal="centerContinuous" vertical="top"/>
    </xf>
    <xf numFmtId="0" fontId="44" fillId="6" borderId="0" xfId="0" applyFont="1" applyFill="1" applyAlignment="1">
      <alignment/>
    </xf>
    <xf numFmtId="3" fontId="25" fillId="15" borderId="0" xfId="0" applyNumberFormat="1" applyFont="1" applyFill="1" applyAlignment="1" applyProtection="1" quotePrefix="1">
      <alignment horizontal="center"/>
      <protection/>
    </xf>
    <xf numFmtId="171" fontId="44" fillId="9" borderId="0" xfId="0" applyNumberFormat="1" applyFont="1" applyFill="1" applyAlignment="1" applyProtection="1">
      <alignment horizontal="right"/>
      <protection locked="0"/>
    </xf>
    <xf numFmtId="0" fontId="44" fillId="7" borderId="0" xfId="0" applyFont="1" applyFill="1" applyAlignment="1">
      <alignment horizontal="centerContinuous"/>
    </xf>
    <xf numFmtId="0" fontId="44" fillId="6" borderId="0" xfId="0" applyFont="1" applyFill="1" applyAlignment="1" applyProtection="1" quotePrefix="1">
      <alignment horizontal="left"/>
      <protection locked="0"/>
    </xf>
    <xf numFmtId="9" fontId="8" fillId="16" borderId="0" xfId="0" applyNumberFormat="1" applyFont="1" applyFill="1" applyAlignment="1" applyProtection="1">
      <alignment horizontal="center"/>
      <protection locked="0"/>
    </xf>
    <xf numFmtId="0" fontId="0" fillId="15" borderId="0" xfId="0" applyFont="1" applyFill="1" applyAlignment="1">
      <alignment horizontal="center"/>
    </xf>
    <xf numFmtId="0" fontId="0" fillId="15" borderId="0" xfId="0" applyFont="1" applyFill="1" applyAlignment="1" applyProtection="1" quotePrefix="1">
      <alignment horizontal="right"/>
      <protection/>
    </xf>
    <xf numFmtId="3" fontId="25" fillId="3" borderId="0" xfId="0" applyNumberFormat="1" applyFont="1" applyFill="1" applyAlignment="1">
      <alignment horizontal="center"/>
    </xf>
    <xf numFmtId="0" fontId="16" fillId="4" borderId="0" xfId="0" applyFont="1" applyFill="1" applyAlignment="1">
      <alignment horizontal="centerContinuous"/>
    </xf>
    <xf numFmtId="3" fontId="0" fillId="15" borderId="0" xfId="0" applyNumberFormat="1" applyFont="1" applyFill="1" applyAlignment="1">
      <alignment horizontal="right"/>
    </xf>
    <xf numFmtId="0" fontId="27" fillId="33" borderId="0" xfId="0" applyFont="1" applyFill="1" applyAlignment="1">
      <alignment horizontal="center"/>
    </xf>
    <xf numFmtId="3" fontId="0" fillId="16" borderId="0" xfId="0" applyNumberFormat="1" applyFont="1" applyFill="1" applyAlignment="1" applyProtection="1">
      <alignment horizontal="center"/>
      <protection/>
    </xf>
    <xf numFmtId="0" fontId="0" fillId="33" borderId="0" xfId="0" applyFont="1" applyFill="1" applyAlignment="1">
      <alignment/>
    </xf>
    <xf numFmtId="3" fontId="0" fillId="16" borderId="0" xfId="0" applyNumberFormat="1" applyFont="1" applyFill="1" applyAlignment="1" applyProtection="1" quotePrefix="1">
      <alignment horizontal="center"/>
      <protection/>
    </xf>
    <xf numFmtId="0" fontId="0" fillId="3" borderId="0" xfId="0" applyFont="1" applyFill="1" applyAlignment="1" applyProtection="1">
      <alignment horizontal="left"/>
      <protection/>
    </xf>
    <xf numFmtId="37" fontId="8" fillId="2" borderId="0" xfId="0" applyNumberFormat="1" applyFont="1" applyFill="1" applyAlignment="1" applyProtection="1">
      <alignment horizontal="center"/>
      <protection locked="0"/>
    </xf>
    <xf numFmtId="7" fontId="8" fillId="4" borderId="0" xfId="0" applyNumberFormat="1" applyFont="1" applyFill="1" applyAlignment="1" applyProtection="1">
      <alignment horizontal="left"/>
      <protection locked="0"/>
    </xf>
    <xf numFmtId="37" fontId="44" fillId="3" borderId="0" xfId="0" applyNumberFormat="1" applyFont="1" applyFill="1" applyAlignment="1" applyProtection="1">
      <alignment horizontal="center"/>
      <protection locked="0"/>
    </xf>
    <xf numFmtId="179" fontId="44" fillId="3" borderId="0" xfId="0" applyNumberFormat="1" applyFont="1" applyFill="1" applyAlignment="1" applyProtection="1">
      <alignment horizontal="left"/>
      <protection locked="0"/>
    </xf>
    <xf numFmtId="0" fontId="44" fillId="3" borderId="0" xfId="0" applyFont="1" applyFill="1" applyAlignment="1">
      <alignment horizontal="center"/>
    </xf>
    <xf numFmtId="179" fontId="44" fillId="3" borderId="0" xfId="0" applyNumberFormat="1" applyFont="1" applyFill="1" applyAlignment="1" applyProtection="1">
      <alignment horizontal="left"/>
      <protection/>
    </xf>
    <xf numFmtId="0" fontId="44" fillId="39" borderId="0" xfId="0" applyFont="1" applyFill="1" applyAlignment="1">
      <alignment horizontal="center"/>
    </xf>
    <xf numFmtId="1" fontId="44" fillId="39" borderId="0" xfId="0" applyNumberFormat="1" applyFont="1" applyFill="1" applyAlignment="1" applyProtection="1">
      <alignment horizontal="center"/>
      <protection/>
    </xf>
    <xf numFmtId="2" fontId="44" fillId="39" borderId="0" xfId="0" applyNumberFormat="1" applyFont="1" applyFill="1" applyAlignment="1" applyProtection="1">
      <alignment horizontal="center"/>
      <protection/>
    </xf>
    <xf numFmtId="3" fontId="44" fillId="39" borderId="0" xfId="0" applyNumberFormat="1" applyFont="1" applyFill="1" applyAlignment="1" applyProtection="1">
      <alignment horizontal="center"/>
      <protection/>
    </xf>
    <xf numFmtId="173" fontId="44" fillId="39" borderId="0" xfId="0" applyNumberFormat="1" applyFont="1" applyFill="1" applyAlignment="1">
      <alignment horizontal="center"/>
    </xf>
    <xf numFmtId="3" fontId="44" fillId="39" borderId="0" xfId="0" applyNumberFormat="1" applyFont="1" applyFill="1" applyAlignment="1">
      <alignment horizontal="center"/>
    </xf>
    <xf numFmtId="0" fontId="0" fillId="6" borderId="0" xfId="0" applyFont="1" applyFill="1" applyAlignment="1" applyProtection="1">
      <alignment horizontal="center"/>
      <protection/>
    </xf>
    <xf numFmtId="0" fontId="8" fillId="6" borderId="0" xfId="0" applyFont="1" applyFill="1" applyAlignment="1" applyProtection="1">
      <alignment horizontal="center"/>
      <protection locked="0"/>
    </xf>
    <xf numFmtId="2" fontId="44" fillId="39" borderId="0" xfId="0" applyNumberFormat="1" applyFont="1" applyFill="1" applyAlignment="1">
      <alignment horizontal="center"/>
    </xf>
    <xf numFmtId="0" fontId="0" fillId="33" borderId="0" xfId="0" applyFont="1" applyFill="1" applyAlignment="1" applyProtection="1">
      <alignment horizontal="center"/>
      <protection/>
    </xf>
    <xf numFmtId="0" fontId="8" fillId="6" borderId="0" xfId="0" applyFont="1" applyFill="1" applyAlignment="1" applyProtection="1">
      <alignment/>
      <protection locked="0"/>
    </xf>
    <xf numFmtId="177" fontId="25" fillId="0" borderId="0" xfId="0" applyNumberFormat="1" applyFont="1" applyFill="1" applyAlignment="1" applyProtection="1">
      <alignment horizontal="center"/>
      <protection/>
    </xf>
    <xf numFmtId="0" fontId="28" fillId="11" borderId="0" xfId="0" applyNumberFormat="1" applyFont="1" applyFill="1" applyAlignment="1">
      <alignment horizontal="centerContinuous"/>
    </xf>
    <xf numFmtId="9" fontId="28" fillId="11" borderId="0" xfId="0" applyNumberFormat="1" applyFont="1" applyFill="1" applyAlignment="1" applyProtection="1">
      <alignment horizontal="center"/>
      <protection/>
    </xf>
    <xf numFmtId="37" fontId="8" fillId="4" borderId="0" xfId="0" applyNumberFormat="1" applyFont="1" applyFill="1" applyAlignment="1" applyProtection="1">
      <alignment horizontal="left"/>
      <protection locked="0"/>
    </xf>
    <xf numFmtId="169" fontId="28" fillId="4" borderId="0" xfId="0" applyNumberFormat="1" applyFont="1" applyFill="1" applyAlignment="1" applyProtection="1">
      <alignment horizontal="left"/>
      <protection/>
    </xf>
    <xf numFmtId="0" fontId="0" fillId="37" borderId="0" xfId="0" applyFont="1" applyFill="1" applyAlignment="1" applyProtection="1">
      <alignment horizontal="center"/>
      <protection/>
    </xf>
    <xf numFmtId="9" fontId="25" fillId="24" borderId="0" xfId="0" applyNumberFormat="1" applyFont="1" applyFill="1" applyAlignment="1">
      <alignment/>
    </xf>
    <xf numFmtId="0" fontId="0" fillId="24" borderId="0" xfId="0" applyFont="1" applyFill="1" applyAlignment="1">
      <alignment horizontal="centerContinuous"/>
    </xf>
    <xf numFmtId="0" fontId="44" fillId="24" borderId="0" xfId="0" applyFont="1" applyFill="1" applyAlignment="1">
      <alignment horizontal="left"/>
    </xf>
    <xf numFmtId="171" fontId="44" fillId="9" borderId="0" xfId="0" applyNumberFormat="1" applyFont="1" applyFill="1" applyAlignment="1">
      <alignment/>
    </xf>
    <xf numFmtId="171" fontId="44" fillId="10" borderId="0" xfId="0" applyNumberFormat="1" applyFont="1" applyFill="1" applyAlignment="1">
      <alignment/>
    </xf>
    <xf numFmtId="171" fontId="44" fillId="18" borderId="0" xfId="0" applyNumberFormat="1" applyFont="1" applyFill="1" applyAlignment="1">
      <alignment/>
    </xf>
    <xf numFmtId="171" fontId="44" fillId="7" borderId="0" xfId="0" applyNumberFormat="1" applyFont="1" applyFill="1" applyAlignment="1">
      <alignment/>
    </xf>
    <xf numFmtId="171" fontId="44" fillId="3" borderId="0" xfId="0" applyNumberFormat="1" applyFont="1" applyFill="1" applyAlignment="1">
      <alignment/>
    </xf>
    <xf numFmtId="171" fontId="44" fillId="31" borderId="0" xfId="0" applyNumberFormat="1" applyFont="1" applyFill="1" applyAlignment="1">
      <alignment/>
    </xf>
    <xf numFmtId="0" fontId="0" fillId="2" borderId="0" xfId="0" applyFont="1" applyFill="1" applyAlignment="1" applyProtection="1" quotePrefix="1">
      <alignment horizontal="center"/>
      <protection/>
    </xf>
    <xf numFmtId="171" fontId="44" fillId="31" borderId="0" xfId="0" applyNumberFormat="1" applyFont="1" applyFill="1" applyAlignment="1" applyProtection="1">
      <alignment/>
      <protection/>
    </xf>
    <xf numFmtId="0" fontId="0" fillId="4" borderId="0" xfId="0" applyFont="1" applyFill="1" applyAlignment="1" applyProtection="1" quotePrefix="1">
      <alignment horizontal="center"/>
      <protection/>
    </xf>
    <xf numFmtId="37" fontId="44" fillId="24" borderId="0" xfId="0" applyNumberFormat="1" applyFont="1" applyFill="1" applyAlignment="1" applyProtection="1">
      <alignment horizontal="left"/>
      <protection/>
    </xf>
    <xf numFmtId="1" fontId="44" fillId="39" borderId="0" xfId="0" applyNumberFormat="1" applyFont="1" applyFill="1" applyAlignment="1">
      <alignment horizontal="center"/>
    </xf>
    <xf numFmtId="0" fontId="44" fillId="0" borderId="0" xfId="0" applyFont="1" applyAlignment="1" applyProtection="1">
      <alignment horizontal="center"/>
      <protection/>
    </xf>
    <xf numFmtId="37" fontId="44" fillId="24" borderId="0" xfId="0" applyNumberFormat="1" applyFont="1" applyFill="1" applyAlignment="1" applyProtection="1">
      <alignment horizontal="center"/>
      <protection/>
    </xf>
    <xf numFmtId="179" fontId="0" fillId="6" borderId="0" xfId="0" applyNumberFormat="1" applyFont="1" applyFill="1" applyAlignment="1" applyProtection="1">
      <alignment/>
      <protection/>
    </xf>
    <xf numFmtId="171" fontId="44" fillId="10" borderId="0" xfId="0" applyNumberFormat="1" applyFont="1" applyFill="1" applyAlignment="1" applyProtection="1">
      <alignment/>
      <protection/>
    </xf>
    <xf numFmtId="182" fontId="44" fillId="6" borderId="0" xfId="0" applyNumberFormat="1" applyFont="1" applyFill="1" applyAlignment="1" applyProtection="1">
      <alignment horizontal="left"/>
      <protection locked="0"/>
    </xf>
    <xf numFmtId="0" fontId="41" fillId="5" borderId="0" xfId="0" applyFont="1" applyFill="1" applyAlignment="1" applyProtection="1">
      <alignment/>
      <protection/>
    </xf>
    <xf numFmtId="0" fontId="0" fillId="3" borderId="0" xfId="0" applyFill="1" applyAlignment="1">
      <alignment/>
    </xf>
    <xf numFmtId="14" fontId="0" fillId="3" borderId="0" xfId="0" applyNumberFormat="1" applyFont="1" applyFill="1" applyAlignment="1">
      <alignment horizontal="centerContinuous"/>
    </xf>
    <xf numFmtId="171" fontId="53" fillId="23" borderId="0" xfId="0" applyNumberFormat="1" applyFont="1" applyFill="1" applyAlignment="1">
      <alignment/>
    </xf>
    <xf numFmtId="3" fontId="53" fillId="0" borderId="0" xfId="0" applyNumberFormat="1" applyFont="1" applyFill="1" applyAlignment="1">
      <alignment/>
    </xf>
    <xf numFmtId="0" fontId="53" fillId="3" borderId="0" xfId="0" applyFont="1" applyFill="1" applyAlignment="1">
      <alignment horizontal="center"/>
    </xf>
    <xf numFmtId="10" fontId="53" fillId="0" borderId="0" xfId="0" applyNumberFormat="1" applyFont="1" applyFill="1" applyAlignment="1">
      <alignment horizontal="center"/>
    </xf>
    <xf numFmtId="0" fontId="53" fillId="3" borderId="0" xfId="0" applyFont="1" applyFill="1" applyAlignment="1">
      <alignment/>
    </xf>
    <xf numFmtId="0" fontId="53" fillId="24" borderId="0" xfId="0" applyFont="1" applyFill="1" applyAlignment="1">
      <alignment horizontal="center"/>
    </xf>
    <xf numFmtId="3" fontId="53" fillId="0" borderId="0" xfId="0" applyNumberFormat="1" applyFont="1" applyFill="1" applyAlignment="1">
      <alignment horizontal="center"/>
    </xf>
    <xf numFmtId="0" fontId="53" fillId="0" borderId="0" xfId="0" applyFont="1" applyAlignment="1">
      <alignment horizontal="center"/>
    </xf>
    <xf numFmtId="0" fontId="53" fillId="9" borderId="0" xfId="0" applyFont="1" applyFill="1" applyAlignment="1" applyProtection="1">
      <alignment horizontal="center"/>
      <protection/>
    </xf>
    <xf numFmtId="37" fontId="53" fillId="9" borderId="0" xfId="0" applyNumberFormat="1" applyFont="1" applyFill="1" applyAlignment="1" applyProtection="1">
      <alignment horizontal="center"/>
      <protection/>
    </xf>
    <xf numFmtId="168" fontId="53" fillId="9" borderId="0" xfId="0" applyNumberFormat="1" applyFont="1" applyFill="1" applyAlignment="1" applyProtection="1">
      <alignment horizontal="center"/>
      <protection/>
    </xf>
    <xf numFmtId="172" fontId="53" fillId="9" borderId="0" xfId="0" applyNumberFormat="1" applyFont="1" applyFill="1" applyAlignment="1" applyProtection="1">
      <alignment horizontal="center"/>
      <protection/>
    </xf>
    <xf numFmtId="174" fontId="53" fillId="9" borderId="0" xfId="0" applyNumberFormat="1" applyFont="1" applyFill="1" applyAlignment="1" applyProtection="1">
      <alignment horizontal="center"/>
      <protection/>
    </xf>
    <xf numFmtId="3" fontId="53" fillId="9" borderId="0" xfId="0" applyNumberFormat="1" applyFont="1" applyFill="1" applyAlignment="1">
      <alignment horizontal="center"/>
    </xf>
    <xf numFmtId="168" fontId="53" fillId="9" borderId="0" xfId="0" applyNumberFormat="1" applyFont="1" applyFill="1" applyAlignment="1">
      <alignment horizontal="center"/>
    </xf>
    <xf numFmtId="0" fontId="53" fillId="9" borderId="0" xfId="0" applyFont="1" applyFill="1" applyAlignment="1" applyProtection="1" quotePrefix="1">
      <alignment horizontal="center"/>
      <protection/>
    </xf>
    <xf numFmtId="0" fontId="53" fillId="9" borderId="0" xfId="0" applyFont="1" applyFill="1" applyAlignment="1">
      <alignment horizontal="center"/>
    </xf>
    <xf numFmtId="178" fontId="53" fillId="9" borderId="0" xfId="0" applyNumberFormat="1" applyFont="1" applyFill="1" applyAlignment="1">
      <alignment horizontal="center"/>
    </xf>
    <xf numFmtId="39" fontId="53" fillId="9" borderId="0" xfId="0" applyNumberFormat="1" applyFont="1" applyFill="1" applyAlignment="1" applyProtection="1">
      <alignment horizontal="center"/>
      <protection/>
    </xf>
    <xf numFmtId="169" fontId="53" fillId="9" borderId="0" xfId="0" applyNumberFormat="1" applyFont="1" applyFill="1" applyAlignment="1" applyProtection="1">
      <alignment horizontal="center"/>
      <protection/>
    </xf>
    <xf numFmtId="0" fontId="53" fillId="9" borderId="0" xfId="0" applyFont="1" applyFill="1" applyAlignment="1">
      <alignment/>
    </xf>
    <xf numFmtId="180" fontId="53" fillId="9" borderId="0" xfId="0" applyNumberFormat="1" applyFont="1" applyFill="1" applyAlignment="1" applyProtection="1">
      <alignment horizontal="center"/>
      <protection/>
    </xf>
    <xf numFmtId="7" fontId="53" fillId="9" borderId="0" xfId="0" applyNumberFormat="1" applyFont="1" applyFill="1" applyAlignment="1" applyProtection="1">
      <alignment horizontal="center"/>
      <protection/>
    </xf>
    <xf numFmtId="10" fontId="53" fillId="9" borderId="0" xfId="0" applyNumberFormat="1" applyFont="1" applyFill="1" applyAlignment="1" applyProtection="1">
      <alignment horizontal="center"/>
      <protection/>
    </xf>
    <xf numFmtId="178" fontId="53" fillId="9" borderId="0" xfId="0" applyNumberFormat="1" applyFont="1" applyFill="1" applyAlignment="1">
      <alignment horizontal="centerContinuous"/>
    </xf>
    <xf numFmtId="181" fontId="41" fillId="5" borderId="0" xfId="0" applyNumberFormat="1" applyFont="1" applyFill="1" applyAlignment="1">
      <alignment horizontal="center"/>
    </xf>
    <xf numFmtId="0" fontId="53" fillId="33" borderId="0" xfId="0" applyFont="1" applyFill="1" applyAlignment="1">
      <alignment horizontal="center"/>
    </xf>
    <xf numFmtId="0" fontId="53" fillId="33" borderId="0" xfId="0" applyFont="1" applyFill="1" applyAlignment="1">
      <alignment/>
    </xf>
    <xf numFmtId="0" fontId="53" fillId="33" borderId="0" xfId="0" applyFont="1" applyFill="1" applyAlignment="1" applyProtection="1">
      <alignment horizontal="center"/>
      <protection/>
    </xf>
    <xf numFmtId="0" fontId="17" fillId="29" borderId="0" xfId="0" applyFont="1" applyFill="1" applyAlignment="1" applyProtection="1">
      <alignment horizontal="center"/>
      <protection/>
    </xf>
    <xf numFmtId="0" fontId="53" fillId="11" borderId="0" xfId="0" applyFont="1" applyFill="1" applyAlignment="1" applyProtection="1">
      <alignment horizontal="center"/>
      <protection/>
    </xf>
    <xf numFmtId="0" fontId="53" fillId="6" borderId="0" xfId="0" applyFont="1" applyFill="1" applyAlignment="1" applyProtection="1">
      <alignment horizontal="right"/>
      <protection/>
    </xf>
    <xf numFmtId="0" fontId="53" fillId="6" borderId="0" xfId="0" applyFont="1" applyFill="1" applyAlignment="1">
      <alignment horizontal="right"/>
    </xf>
    <xf numFmtId="0" fontId="53" fillId="6" borderId="0" xfId="0" applyFont="1" applyFill="1" applyAlignment="1">
      <alignment/>
    </xf>
    <xf numFmtId="0" fontId="53" fillId="7" borderId="0" xfId="0" applyFont="1" applyFill="1" applyAlignment="1">
      <alignment horizontal="center"/>
    </xf>
    <xf numFmtId="0" fontId="53" fillId="7" borderId="0" xfId="0" applyFont="1" applyFill="1" applyAlignment="1" applyProtection="1">
      <alignment horizontal="center"/>
      <protection/>
    </xf>
    <xf numFmtId="0" fontId="53" fillId="15" borderId="0" xfId="0" applyFont="1" applyFill="1" applyAlignment="1" applyProtection="1">
      <alignment horizontal="center"/>
      <protection/>
    </xf>
    <xf numFmtId="0" fontId="53" fillId="15" borderId="0" xfId="0" applyFont="1" applyFill="1" applyAlignment="1" applyProtection="1" quotePrefix="1">
      <alignment horizontal="center"/>
      <protection/>
    </xf>
    <xf numFmtId="169" fontId="53" fillId="15" borderId="0" xfId="0" applyNumberFormat="1" applyFont="1" applyFill="1" applyAlignment="1" applyProtection="1" quotePrefix="1">
      <alignment horizontal="center"/>
      <protection/>
    </xf>
    <xf numFmtId="169" fontId="53" fillId="15" borderId="0" xfId="0" applyNumberFormat="1" applyFont="1" applyFill="1" applyAlignment="1" applyProtection="1">
      <alignment horizontal="center"/>
      <protection/>
    </xf>
    <xf numFmtId="169" fontId="53" fillId="3" borderId="0" xfId="0" applyNumberFormat="1" applyFont="1" applyFill="1" applyAlignment="1" applyProtection="1">
      <alignment horizontal="right"/>
      <protection/>
    </xf>
    <xf numFmtId="0" fontId="53" fillId="3" borderId="0" xfId="0" applyFont="1" applyFill="1" applyAlignment="1">
      <alignment horizontal="right"/>
    </xf>
    <xf numFmtId="0" fontId="53" fillId="3" borderId="0" xfId="0" applyFont="1" applyFill="1" applyAlignment="1" applyProtection="1">
      <alignment horizontal="right"/>
      <protection/>
    </xf>
    <xf numFmtId="37" fontId="53" fillId="3" borderId="0" xfId="0" applyNumberFormat="1" applyFont="1" applyFill="1" applyAlignment="1" applyProtection="1">
      <alignment horizontal="center"/>
      <protection/>
    </xf>
    <xf numFmtId="0" fontId="53" fillId="3" borderId="0" xfId="0" applyFont="1" applyFill="1" applyAlignment="1" applyProtection="1">
      <alignment horizontal="left"/>
      <protection/>
    </xf>
    <xf numFmtId="0" fontId="53" fillId="3" borderId="0" xfId="0" applyFont="1" applyFill="1" applyAlignment="1">
      <alignment horizontal="left"/>
    </xf>
    <xf numFmtId="0" fontId="53" fillId="3" borderId="0" xfId="0" applyFont="1" applyFill="1" applyAlignment="1" applyProtection="1">
      <alignment horizontal="centerContinuous"/>
      <protection/>
    </xf>
    <xf numFmtId="0" fontId="53" fillId="24" borderId="0" xfId="0" applyFont="1" applyFill="1" applyAlignment="1">
      <alignment horizontal="centerContinuous"/>
    </xf>
    <xf numFmtId="0" fontId="53" fillId="24" borderId="0" xfId="0" applyFont="1" applyFill="1" applyAlignment="1">
      <alignment/>
    </xf>
    <xf numFmtId="0" fontId="53" fillId="3" borderId="0" xfId="0" applyFont="1" applyFill="1" applyAlignment="1">
      <alignment horizontal="centerContinuous"/>
    </xf>
    <xf numFmtId="0" fontId="53" fillId="24" borderId="0" xfId="0" applyFont="1" applyFill="1" applyAlignment="1" applyProtection="1">
      <alignment horizontal="right"/>
      <protection/>
    </xf>
    <xf numFmtId="0" fontId="53" fillId="24" borderId="0" xfId="0" applyFont="1" applyFill="1" applyAlignment="1">
      <alignment horizontal="right"/>
    </xf>
    <xf numFmtId="0" fontId="53" fillId="2" borderId="0" xfId="0" applyFont="1" applyFill="1" applyAlignment="1" applyProtection="1">
      <alignment horizontal="center"/>
      <protection/>
    </xf>
    <xf numFmtId="0" fontId="53" fillId="2" borderId="0" xfId="0" applyFont="1" applyFill="1" applyAlignment="1">
      <alignment/>
    </xf>
    <xf numFmtId="0" fontId="53" fillId="2" borderId="0" xfId="0" applyFont="1" applyFill="1" applyAlignment="1">
      <alignment horizontal="center"/>
    </xf>
    <xf numFmtId="0" fontId="53" fillId="4" borderId="0" xfId="0" applyFont="1" applyFill="1" applyAlignment="1" applyProtection="1">
      <alignment horizontal="left"/>
      <protection/>
    </xf>
    <xf numFmtId="0" fontId="53" fillId="15" borderId="0" xfId="0" applyFont="1" applyFill="1" applyAlignment="1">
      <alignment/>
    </xf>
    <xf numFmtId="0" fontId="53" fillId="2" borderId="0" xfId="0" applyFont="1" applyFill="1" applyAlignment="1" applyProtection="1">
      <alignment horizontal="centerContinuous"/>
      <protection/>
    </xf>
    <xf numFmtId="0" fontId="53" fillId="2" borderId="0" xfId="0" applyFont="1" applyFill="1" applyAlignment="1">
      <alignment horizontal="centerContinuous"/>
    </xf>
    <xf numFmtId="0" fontId="53" fillId="31" borderId="0" xfId="0" applyFont="1" applyFill="1" applyAlignment="1">
      <alignment/>
    </xf>
    <xf numFmtId="0" fontId="53" fillId="12" borderId="0" xfId="0" applyFont="1" applyFill="1" applyAlignment="1" applyProtection="1">
      <alignment horizontal="centerContinuous"/>
      <protection/>
    </xf>
    <xf numFmtId="0" fontId="53" fillId="12" borderId="0" xfId="0" applyFont="1" applyFill="1" applyAlignment="1">
      <alignment horizontal="centerContinuous"/>
    </xf>
    <xf numFmtId="0" fontId="53" fillId="36" borderId="0" xfId="0" applyFont="1" applyFill="1" applyAlignment="1" applyProtection="1">
      <alignment horizontal="centerContinuous"/>
      <protection/>
    </xf>
    <xf numFmtId="0" fontId="53" fillId="36" borderId="0" xfId="0" applyFont="1" applyFill="1" applyAlignment="1">
      <alignment horizontal="centerContinuous"/>
    </xf>
    <xf numFmtId="0" fontId="53" fillId="31" borderId="0" xfId="0" applyFont="1" applyFill="1" applyAlignment="1" applyProtection="1">
      <alignment horizontal="center"/>
      <protection/>
    </xf>
    <xf numFmtId="0" fontId="53" fillId="10" borderId="0" xfId="0" applyFont="1" applyFill="1" applyAlignment="1" applyProtection="1">
      <alignment horizontal="center"/>
      <protection/>
    </xf>
    <xf numFmtId="0" fontId="53" fillId="18" borderId="0" xfId="0" applyFont="1" applyFill="1" applyAlignment="1" applyProtection="1">
      <alignment horizontal="center"/>
      <protection/>
    </xf>
    <xf numFmtId="0" fontId="53" fillId="3" borderId="0" xfId="0" applyFont="1" applyFill="1" applyAlignment="1" applyProtection="1">
      <alignment horizontal="center"/>
      <protection/>
    </xf>
    <xf numFmtId="0" fontId="56" fillId="38" borderId="0" xfId="0" applyFont="1" applyFill="1" applyAlignment="1">
      <alignment horizontal="center"/>
    </xf>
    <xf numFmtId="0" fontId="0" fillId="38" borderId="0" xfId="0" applyFill="1" applyAlignment="1">
      <alignment/>
    </xf>
    <xf numFmtId="0" fontId="0" fillId="37" borderId="0" xfId="0" applyFill="1" applyAlignment="1">
      <alignment/>
    </xf>
    <xf numFmtId="0" fontId="0" fillId="11" borderId="0" xfId="0" applyFill="1" applyAlignment="1">
      <alignment/>
    </xf>
    <xf numFmtId="0" fontId="0" fillId="31" borderId="0" xfId="0" applyFill="1" applyAlignment="1">
      <alignment horizontal="center"/>
    </xf>
    <xf numFmtId="0" fontId="0" fillId="40" borderId="0" xfId="0" applyFill="1" applyAlignment="1">
      <alignment horizontal="center"/>
    </xf>
    <xf numFmtId="0" fontId="0" fillId="40" borderId="0" xfId="0" applyFill="1" applyAlignment="1">
      <alignment/>
    </xf>
    <xf numFmtId="0" fontId="55" fillId="40" borderId="0" xfId="0" applyFont="1" applyFill="1" applyAlignment="1">
      <alignment horizontal="center"/>
    </xf>
    <xf numFmtId="177" fontId="58" fillId="40" borderId="0" xfId="0" applyNumberFormat="1" applyFont="1" applyFill="1" applyAlignment="1">
      <alignment horizontal="center"/>
    </xf>
    <xf numFmtId="0" fontId="60" fillId="7" borderId="0" xfId="0" applyFont="1" applyFill="1" applyAlignment="1" quotePrefix="1">
      <alignment horizontal="centerContinuous" vertical="top"/>
    </xf>
    <xf numFmtId="0" fontId="56" fillId="23" borderId="0" xfId="0" applyFont="1" applyFill="1" applyAlignment="1" quotePrefix="1">
      <alignment horizontal="center"/>
    </xf>
    <xf numFmtId="0" fontId="44" fillId="7" borderId="0" xfId="0" applyFont="1" applyFill="1" applyAlignment="1">
      <alignment horizontal="centerContinuous" vertical="top"/>
    </xf>
    <xf numFmtId="3" fontId="53" fillId="7" borderId="0" xfId="0" applyNumberFormat="1" applyFont="1" applyFill="1" applyAlignment="1">
      <alignment horizontal="centerContinuous"/>
    </xf>
    <xf numFmtId="0" fontId="0" fillId="23" borderId="0" xfId="0" applyFill="1" applyAlignment="1">
      <alignment horizontal="center"/>
    </xf>
    <xf numFmtId="3" fontId="53" fillId="7" borderId="0" xfId="0" applyNumberFormat="1" applyFont="1" applyFill="1" applyBorder="1" applyAlignment="1">
      <alignment horizontal="centerContinuous"/>
    </xf>
    <xf numFmtId="177" fontId="44" fillId="40" borderId="0" xfId="0" applyNumberFormat="1" applyFont="1" applyFill="1" applyAlignment="1" applyProtection="1">
      <alignment horizontal="center"/>
      <protection locked="0"/>
    </xf>
    <xf numFmtId="177" fontId="57" fillId="40" borderId="0" xfId="0" applyNumberFormat="1" applyFont="1" applyFill="1" applyAlignment="1" applyProtection="1">
      <alignment horizontal="center"/>
      <protection locked="0"/>
    </xf>
    <xf numFmtId="176" fontId="59" fillId="31" borderId="0" xfId="0" applyNumberFormat="1" applyFont="1" applyFill="1" applyAlignment="1" applyProtection="1">
      <alignment horizontal="center"/>
      <protection locked="0"/>
    </xf>
    <xf numFmtId="3" fontId="44" fillId="23" borderId="0" xfId="0" applyNumberFormat="1" applyFont="1" applyFill="1" applyAlignment="1" applyProtection="1">
      <alignment horizontal="center"/>
      <protection locked="0"/>
    </xf>
    <xf numFmtId="0" fontId="28" fillId="4" borderId="0" xfId="0" applyFont="1" applyFill="1" applyAlignment="1">
      <alignment horizontal="left"/>
    </xf>
    <xf numFmtId="0" fontId="25" fillId="4" borderId="0" xfId="0" applyFont="1" applyFill="1" applyAlignment="1">
      <alignment horizontal="center"/>
    </xf>
    <xf numFmtId="0" fontId="53" fillId="4" borderId="0" xfId="0" applyFont="1" applyFill="1" applyAlignment="1">
      <alignment horizontal="center"/>
    </xf>
    <xf numFmtId="2" fontId="44" fillId="41" borderId="0" xfId="0" applyNumberFormat="1" applyFont="1" applyFill="1" applyAlignment="1">
      <alignment horizontal="center"/>
    </xf>
    <xf numFmtId="2" fontId="44" fillId="41" borderId="0" xfId="0" applyNumberFormat="1" applyFont="1" applyFill="1" applyAlignment="1" applyProtection="1">
      <alignment horizontal="center"/>
      <protection/>
    </xf>
    <xf numFmtId="174" fontId="44" fillId="41" borderId="0" xfId="0" applyNumberFormat="1" applyFont="1" applyFill="1" applyAlignment="1">
      <alignment horizontal="center"/>
    </xf>
    <xf numFmtId="1" fontId="44" fillId="41" borderId="0" xfId="0" applyNumberFormat="1" applyFont="1" applyFill="1" applyAlignment="1" applyProtection="1">
      <alignment horizontal="center"/>
      <protection/>
    </xf>
    <xf numFmtId="3" fontId="44" fillId="41" borderId="0" xfId="0" applyNumberFormat="1" applyFont="1" applyFill="1" applyAlignment="1" applyProtection="1">
      <alignment horizontal="center"/>
      <protection/>
    </xf>
    <xf numFmtId="3" fontId="44" fillId="41" borderId="0" xfId="0" applyNumberFormat="1" applyFont="1" applyFill="1" applyAlignment="1">
      <alignment horizontal="center"/>
    </xf>
    <xf numFmtId="173" fontId="44" fillId="41" borderId="0" xfId="0" applyNumberFormat="1" applyFont="1" applyFill="1" applyAlignment="1" applyProtection="1">
      <alignment horizontal="center"/>
      <protection/>
    </xf>
    <xf numFmtId="173" fontId="44" fillId="41" borderId="0" xfId="0" applyNumberFormat="1" applyFont="1" applyFill="1" applyAlignment="1">
      <alignment horizontal="center"/>
    </xf>
    <xf numFmtId="37" fontId="44" fillId="41" borderId="0" xfId="0" applyNumberFormat="1" applyFont="1" applyFill="1" applyAlignment="1" applyProtection="1">
      <alignment horizontal="left"/>
      <protection locked="0"/>
    </xf>
    <xf numFmtId="39" fontId="44" fillId="41" borderId="0" xfId="0" applyNumberFormat="1" applyFont="1" applyFill="1" applyAlignment="1" applyProtection="1">
      <alignment horizontal="left"/>
      <protection locked="0"/>
    </xf>
    <xf numFmtId="169" fontId="44" fillId="41" borderId="0" xfId="0" applyNumberFormat="1" applyFont="1" applyFill="1" applyAlignment="1" applyProtection="1">
      <alignment horizontal="center"/>
      <protection locked="0"/>
    </xf>
    <xf numFmtId="37" fontId="44" fillId="41" borderId="0" xfId="0" applyNumberFormat="1" applyFont="1" applyFill="1" applyAlignment="1" applyProtection="1">
      <alignment horizontal="center"/>
      <protection locked="0"/>
    </xf>
    <xf numFmtId="39" fontId="8" fillId="41" borderId="0" xfId="0" applyNumberFormat="1" applyFont="1" applyFill="1" applyAlignment="1" applyProtection="1">
      <alignment horizontal="left"/>
      <protection locked="0"/>
    </xf>
    <xf numFmtId="10" fontId="8" fillId="41" borderId="0" xfId="0" applyNumberFormat="1" applyFont="1" applyFill="1" applyAlignment="1" applyProtection="1">
      <alignment horizontal="left"/>
      <protection locked="0"/>
    </xf>
    <xf numFmtId="10" fontId="44" fillId="41" borderId="0" xfId="0" applyNumberFormat="1" applyFont="1" applyFill="1" applyAlignment="1" applyProtection="1">
      <alignment/>
      <protection locked="0"/>
    </xf>
    <xf numFmtId="37" fontId="53" fillId="41" borderId="0" xfId="0" applyNumberFormat="1" applyFont="1" applyFill="1" applyAlignment="1" applyProtection="1">
      <alignment horizontal="center"/>
      <protection/>
    </xf>
    <xf numFmtId="172" fontId="53" fillId="41" borderId="0" xfId="0" applyNumberFormat="1" applyFont="1" applyFill="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100"/>
  <sheetViews>
    <sheetView showGridLines="0" showZeros="0" tabSelected="1" workbookViewId="0" topLeftCell="A1">
      <selection activeCell="A2" sqref="A2"/>
    </sheetView>
  </sheetViews>
  <sheetFormatPr defaultColWidth="9.140625" defaultRowHeight="12.75"/>
  <cols>
    <col min="1" max="1" width="107.7109375" style="0" customWidth="1"/>
    <col min="2" max="3" width="53.7109375" style="0" customWidth="1"/>
    <col min="4" max="4" width="79.7109375" style="0" customWidth="1"/>
    <col min="5" max="6" width="27.7109375" style="0" customWidth="1"/>
    <col min="7" max="7" width="79.7109375" style="0" customWidth="1"/>
    <col min="8" max="8" width="27.7109375" style="0" customWidth="1"/>
    <col min="9" max="9" width="79.7109375" style="0" customWidth="1"/>
    <col min="10" max="10" width="27.7109375" style="0" customWidth="1"/>
    <col min="11" max="11" width="79.7109375" style="0" customWidth="1"/>
    <col min="12" max="12" width="27.7109375" style="0" customWidth="1"/>
    <col min="13" max="13" width="79.7109375" style="0" customWidth="1"/>
    <col min="14" max="14" width="27.7109375" style="0" customWidth="1"/>
    <col min="15" max="15" width="79.7109375" style="0" customWidth="1"/>
    <col min="16" max="16" width="27.7109375" style="0" customWidth="1"/>
    <col min="17" max="17" width="79.7109375" style="0" customWidth="1"/>
    <col min="18" max="18" width="27.7109375" style="0" customWidth="1"/>
    <col min="19" max="19" width="79.7109375" style="0" customWidth="1"/>
    <col min="20" max="20" width="27.7109375" style="0" customWidth="1"/>
    <col min="21" max="21" width="79.7109375" style="0" customWidth="1"/>
    <col min="22" max="22" width="27.7109375" style="0" customWidth="1"/>
    <col min="23" max="23" width="79.7109375" style="0" customWidth="1"/>
    <col min="24" max="24" width="12.7109375" style="0" customWidth="1"/>
    <col min="25" max="30" width="15.7109375" style="0" customWidth="1"/>
    <col min="31" max="31" width="12.7109375" style="0" customWidth="1"/>
    <col min="32" max="37" width="15.7109375" style="0" customWidth="1"/>
    <col min="38" max="38" width="12.7109375" style="0" customWidth="1"/>
    <col min="39" max="44" width="15.7109375" style="0" customWidth="1"/>
    <col min="45" max="45" width="78.7109375" style="0" customWidth="1"/>
    <col min="46" max="46" width="27.7109375" style="0" customWidth="1"/>
    <col min="47" max="47" width="1.7109375" style="0" customWidth="1"/>
    <col min="48" max="48" width="53.7109375" style="0" customWidth="1"/>
    <col min="49" max="50" width="25.7109375" style="0" customWidth="1"/>
    <col min="51" max="51" width="65.7109375" style="0" customWidth="1"/>
    <col min="52" max="52" width="41.7109375" style="0" customWidth="1"/>
    <col min="53" max="53" width="47.7109375" style="0" customWidth="1"/>
    <col min="54" max="56" width="19.7109375" style="0" customWidth="1"/>
    <col min="57" max="57" width="12.7109375" style="0" customWidth="1"/>
    <col min="58" max="63" width="15.7109375" style="0" customWidth="1"/>
    <col min="64" max="64" width="12.7109375" style="0" customWidth="1"/>
    <col min="65" max="70" width="15.7109375" style="0" customWidth="1"/>
    <col min="71" max="71" width="12.7109375" style="0" customWidth="1"/>
    <col min="72" max="77" width="15.7109375" style="0" customWidth="1"/>
    <col min="78" max="78" width="54.7109375" style="0" customWidth="1"/>
    <col min="79" max="79" width="24.7109375" style="0" customWidth="1"/>
    <col min="80" max="80" width="27.7109375" style="0" customWidth="1"/>
    <col min="81" max="81" width="7.7109375" style="0" customWidth="1"/>
    <col min="82" max="87" width="12.7109375" style="0" customWidth="1"/>
    <col min="88" max="89" width="11.7109375" style="0" customWidth="1"/>
    <col min="90" max="90" width="7.7109375" style="0" customWidth="1"/>
    <col min="91" max="97" width="12.7109375" style="0" customWidth="1"/>
    <col min="98" max="98" width="10.7109375" style="0" customWidth="1"/>
    <col min="99" max="99" width="7.7109375" style="0" customWidth="1"/>
    <col min="100" max="100" width="15.7109375" style="0" customWidth="1"/>
    <col min="101" max="105" width="16.7109375" style="0" customWidth="1"/>
    <col min="106" max="106" width="7.7109375" style="0" customWidth="1"/>
    <col min="107" max="107" width="20.7109375" style="0" customWidth="1"/>
    <col min="108" max="111" width="19.7109375" style="0" customWidth="1"/>
    <col min="112" max="112" width="85.7109375" style="0" customWidth="1"/>
    <col min="113" max="113" width="21.7109375" style="0" customWidth="1"/>
    <col min="114" max="114" width="75.7109375" style="0" customWidth="1"/>
    <col min="115" max="115" width="31.7109375" style="0" customWidth="1"/>
    <col min="116" max="116" width="71.7109375" style="0" customWidth="1"/>
    <col min="117" max="118" width="17.7109375" style="0" customWidth="1"/>
  </cols>
  <sheetData>
    <row r="1" spans="1:118" ht="20.25">
      <c r="A1" s="8"/>
      <c r="B1" s="9"/>
      <c r="C1" s="9"/>
      <c r="D1" s="10"/>
      <c r="E1" s="10"/>
      <c r="F1" s="11" t="s">
        <v>0</v>
      </c>
      <c r="G1" s="11"/>
      <c r="H1" s="12" t="s">
        <v>1</v>
      </c>
      <c r="I1" s="13"/>
      <c r="J1" s="14" t="s">
        <v>2</v>
      </c>
      <c r="K1" s="15"/>
      <c r="L1" s="16" t="s">
        <v>3</v>
      </c>
      <c r="M1" s="17"/>
      <c r="N1" s="18" t="s">
        <v>4</v>
      </c>
      <c r="O1" s="19"/>
      <c r="P1" s="20" t="s">
        <v>5</v>
      </c>
      <c r="Q1" s="21"/>
      <c r="R1" s="22" t="s">
        <v>6</v>
      </c>
      <c r="S1" s="23"/>
      <c r="T1" s="24" t="s">
        <v>7</v>
      </c>
      <c r="U1" s="25"/>
      <c r="V1" s="26" t="s">
        <v>8</v>
      </c>
      <c r="W1" s="27"/>
      <c r="X1" s="28" t="s">
        <v>9</v>
      </c>
      <c r="Y1" s="29"/>
      <c r="Z1" s="29"/>
      <c r="AA1" s="29"/>
      <c r="AB1" s="29"/>
      <c r="AC1" s="29"/>
      <c r="AD1" s="29"/>
      <c r="AE1" s="30" t="s">
        <v>9</v>
      </c>
      <c r="AF1" s="31"/>
      <c r="AG1" s="31"/>
      <c r="AH1" s="31"/>
      <c r="AI1" s="31"/>
      <c r="AJ1" s="31"/>
      <c r="AK1" s="31"/>
      <c r="AL1" s="32" t="s">
        <v>9</v>
      </c>
      <c r="AM1" s="33"/>
      <c r="AN1" s="33"/>
      <c r="AO1" s="33"/>
      <c r="AP1" s="33"/>
      <c r="AQ1" s="33"/>
      <c r="AR1" s="34"/>
      <c r="AS1" s="35"/>
      <c r="AT1" s="35"/>
      <c r="AU1" s="36"/>
      <c r="AV1" s="37"/>
      <c r="AW1" s="37"/>
      <c r="AX1" s="38"/>
      <c r="AY1" s="39"/>
      <c r="AZ1" s="39"/>
      <c r="BA1" s="40" t="s">
        <v>10</v>
      </c>
      <c r="BB1" s="41"/>
      <c r="BC1" s="41"/>
      <c r="BD1" s="41"/>
      <c r="BE1" s="42"/>
      <c r="BF1" s="42"/>
      <c r="BG1" s="42"/>
      <c r="BH1" s="42"/>
      <c r="BI1" s="42"/>
      <c r="BJ1" s="42"/>
      <c r="BK1" s="42"/>
      <c r="BL1" s="43"/>
      <c r="BM1" s="43"/>
      <c r="BN1" s="43"/>
      <c r="BO1" s="43"/>
      <c r="BP1" s="43"/>
      <c r="BQ1" s="43"/>
      <c r="BR1" s="43"/>
      <c r="BS1" s="44"/>
      <c r="BT1" s="44"/>
      <c r="BU1" s="44"/>
      <c r="BV1" s="44"/>
      <c r="BW1" s="44"/>
      <c r="BX1" s="44"/>
      <c r="BY1" s="44"/>
      <c r="BZ1" s="45" t="s">
        <v>11</v>
      </c>
      <c r="CA1" s="46"/>
      <c r="CB1" s="46"/>
      <c r="CC1" s="47"/>
      <c r="CD1" s="47"/>
      <c r="CE1" s="47"/>
      <c r="CF1" s="47"/>
      <c r="CG1" s="47"/>
      <c r="CH1" s="47"/>
      <c r="CI1" s="47"/>
      <c r="CJ1" s="47"/>
      <c r="CK1" s="47"/>
      <c r="CL1" s="48"/>
      <c r="CM1" s="48"/>
      <c r="CN1" s="48"/>
      <c r="CO1" s="48"/>
      <c r="CP1" s="48"/>
      <c r="CQ1" s="48"/>
      <c r="CR1" s="49"/>
      <c r="CS1" s="49"/>
      <c r="CT1" s="49"/>
      <c r="CU1" s="50"/>
      <c r="CV1" s="51"/>
      <c r="CW1" s="51"/>
      <c r="CX1" s="51"/>
      <c r="CY1" s="51"/>
      <c r="CZ1" s="52"/>
      <c r="DA1" s="52"/>
      <c r="DB1" s="53" t="s">
        <v>12</v>
      </c>
      <c r="DC1" s="54"/>
      <c r="DD1" s="55"/>
      <c r="DE1" s="55"/>
      <c r="DF1" s="55"/>
      <c r="DG1" s="55"/>
      <c r="DH1" s="56"/>
      <c r="DI1" s="56"/>
      <c r="DJ1" s="57"/>
      <c r="DK1" s="57"/>
      <c r="DL1" s="58"/>
      <c r="DM1" s="37"/>
      <c r="DN1" s="37"/>
    </row>
    <row r="2" spans="1:118" ht="42.75">
      <c r="A2" s="7" t="s">
        <v>13</v>
      </c>
      <c r="B2" s="59" t="s">
        <v>14</v>
      </c>
      <c r="C2" s="60"/>
      <c r="D2" s="61" t="s">
        <v>15</v>
      </c>
      <c r="E2" s="62"/>
      <c r="F2" s="63" t="s">
        <v>16</v>
      </c>
      <c r="G2" s="63"/>
      <c r="H2" s="64" t="s">
        <v>17</v>
      </c>
      <c r="I2" s="64"/>
      <c r="J2" s="65" t="s">
        <v>18</v>
      </c>
      <c r="K2" s="65"/>
      <c r="L2" s="66" t="s">
        <v>19</v>
      </c>
      <c r="M2" s="66"/>
      <c r="N2" s="67" t="s">
        <v>20</v>
      </c>
      <c r="O2" s="67"/>
      <c r="P2" s="68" t="s">
        <v>21</v>
      </c>
      <c r="Q2" s="68"/>
      <c r="R2" s="69" t="s">
        <v>22</v>
      </c>
      <c r="S2" s="69"/>
      <c r="T2" s="70" t="s">
        <v>23</v>
      </c>
      <c r="U2" s="70"/>
      <c r="V2" s="71" t="s">
        <v>24</v>
      </c>
      <c r="W2" s="71"/>
      <c r="X2" s="72"/>
      <c r="Y2" s="73" t="s">
        <v>25</v>
      </c>
      <c r="Z2" s="74"/>
      <c r="AA2" s="74"/>
      <c r="AB2" s="75" t="s">
        <v>26</v>
      </c>
      <c r="AC2" s="76"/>
      <c r="AD2" s="76"/>
      <c r="AE2" s="77"/>
      <c r="AF2" s="78" t="s">
        <v>27</v>
      </c>
      <c r="AG2" s="79"/>
      <c r="AH2" s="79"/>
      <c r="AI2" s="79"/>
      <c r="AJ2" s="79"/>
      <c r="AK2" s="79"/>
      <c r="AL2" s="80"/>
      <c r="AM2" s="81" t="s">
        <v>28</v>
      </c>
      <c r="AN2" s="82"/>
      <c r="AO2" s="82"/>
      <c r="AP2" s="82"/>
      <c r="AQ2" s="82"/>
      <c r="AR2" s="82"/>
      <c r="AS2" s="83" t="s">
        <v>29</v>
      </c>
      <c r="AT2" s="84"/>
      <c r="AU2" s="85"/>
      <c r="AV2" s="86" t="s">
        <v>30</v>
      </c>
      <c r="AW2" s="87"/>
      <c r="AX2" s="87"/>
      <c r="AY2" s="88" t="s">
        <v>31</v>
      </c>
      <c r="AZ2" s="89"/>
      <c r="BA2" s="90" t="s">
        <v>32</v>
      </c>
      <c r="BB2" s="90" t="s">
        <v>33</v>
      </c>
      <c r="BC2" s="90" t="s">
        <v>34</v>
      </c>
      <c r="BD2" s="90" t="s">
        <v>35</v>
      </c>
      <c r="BE2" s="91" t="s">
        <v>36</v>
      </c>
      <c r="BF2" s="91"/>
      <c r="BG2" s="92"/>
      <c r="BH2" s="92"/>
      <c r="BI2" s="92"/>
      <c r="BJ2" s="92"/>
      <c r="BK2" s="92"/>
      <c r="BL2" s="93" t="s">
        <v>37</v>
      </c>
      <c r="BM2" s="93"/>
      <c r="BN2" s="94"/>
      <c r="BO2" s="94"/>
      <c r="BP2" s="94"/>
      <c r="BQ2" s="94"/>
      <c r="BR2" s="94"/>
      <c r="BS2" s="95" t="s">
        <v>38</v>
      </c>
      <c r="BT2" s="95"/>
      <c r="BU2" s="96"/>
      <c r="BV2" s="96"/>
      <c r="BW2" s="96"/>
      <c r="BX2" s="96"/>
      <c r="BY2" s="96"/>
      <c r="BZ2" s="45" t="s">
        <v>39</v>
      </c>
      <c r="CA2" s="97"/>
      <c r="CB2" s="97"/>
      <c r="CC2" s="98" t="s">
        <v>40</v>
      </c>
      <c r="CD2" s="99"/>
      <c r="CE2" s="99"/>
      <c r="CF2" s="99"/>
      <c r="CG2" s="99"/>
      <c r="CH2" s="99"/>
      <c r="CI2" s="99"/>
      <c r="CJ2" s="99"/>
      <c r="CK2" s="99"/>
      <c r="CL2" s="100" t="s">
        <v>41</v>
      </c>
      <c r="CM2" s="101"/>
      <c r="CN2" s="101"/>
      <c r="CO2" s="101"/>
      <c r="CP2" s="101"/>
      <c r="CQ2" s="102"/>
      <c r="CR2" s="102"/>
      <c r="CS2" s="102"/>
      <c r="CT2" s="102"/>
      <c r="CU2" s="103" t="s">
        <v>42</v>
      </c>
      <c r="CV2" s="104"/>
      <c r="CW2" s="104"/>
      <c r="CX2" s="104"/>
      <c r="CY2" s="105"/>
      <c r="CZ2" s="70"/>
      <c r="DA2" s="106"/>
      <c r="DB2" s="107"/>
      <c r="DC2" s="108" t="s">
        <v>43</v>
      </c>
      <c r="DD2" s="108" t="s">
        <v>44</v>
      </c>
      <c r="DE2" s="108" t="s">
        <v>45</v>
      </c>
      <c r="DF2" s="108" t="s">
        <v>46</v>
      </c>
      <c r="DG2" s="108" t="s">
        <v>47</v>
      </c>
      <c r="DH2" s="109" t="s">
        <v>48</v>
      </c>
      <c r="DI2" s="110"/>
      <c r="DJ2" s="109" t="s">
        <v>49</v>
      </c>
      <c r="DK2" s="110"/>
      <c r="DL2" s="111" t="s">
        <v>50</v>
      </c>
      <c r="DM2" s="112"/>
      <c r="DN2" s="112"/>
    </row>
    <row r="3" spans="1:118" ht="25.5">
      <c r="A3" s="113"/>
      <c r="B3" s="9"/>
      <c r="C3" s="9"/>
      <c r="D3" s="114"/>
      <c r="E3" s="10"/>
      <c r="F3" s="115" t="s">
        <v>51</v>
      </c>
      <c r="G3" s="116"/>
      <c r="H3" s="64" t="s">
        <v>52</v>
      </c>
      <c r="I3" s="64"/>
      <c r="J3" s="117" t="s">
        <v>53</v>
      </c>
      <c r="K3" s="117"/>
      <c r="L3" s="66" t="s">
        <v>54</v>
      </c>
      <c r="M3" s="66"/>
      <c r="N3" s="67" t="s">
        <v>55</v>
      </c>
      <c r="O3" s="67"/>
      <c r="P3" s="118"/>
      <c r="Q3" s="118"/>
      <c r="R3" s="119"/>
      <c r="S3" s="119"/>
      <c r="T3" s="70" t="s">
        <v>54</v>
      </c>
      <c r="U3" s="70"/>
      <c r="V3" s="71" t="s">
        <v>55</v>
      </c>
      <c r="W3" s="71"/>
      <c r="X3" s="120"/>
      <c r="Y3" s="121" t="s">
        <v>56</v>
      </c>
      <c r="Z3" s="122"/>
      <c r="AA3" s="123" t="s">
        <v>57</v>
      </c>
      <c r="AB3" s="121" t="s">
        <v>56</v>
      </c>
      <c r="AC3" s="124"/>
      <c r="AD3" s="122"/>
      <c r="AE3" s="125"/>
      <c r="AF3" s="126" t="s">
        <v>56</v>
      </c>
      <c r="AG3" s="127"/>
      <c r="AH3" s="128" t="s">
        <v>57</v>
      </c>
      <c r="AI3" s="126" t="s">
        <v>56</v>
      </c>
      <c r="AJ3" s="127"/>
      <c r="AK3" s="127"/>
      <c r="AL3" s="80"/>
      <c r="AM3" s="129"/>
      <c r="AN3" s="129"/>
      <c r="AO3" s="129"/>
      <c r="AP3" s="129"/>
      <c r="AQ3" s="129"/>
      <c r="AR3" s="129"/>
      <c r="AS3" s="130"/>
      <c r="AT3" s="131"/>
      <c r="AU3" s="132"/>
      <c r="AV3" s="87"/>
      <c r="AW3" s="87"/>
      <c r="AX3" s="87"/>
      <c r="AY3" s="1" t="s">
        <v>58</v>
      </c>
      <c r="AZ3" s="2"/>
      <c r="BA3" s="35"/>
      <c r="BB3" s="35"/>
      <c r="BC3" s="35"/>
      <c r="BD3" s="35"/>
      <c r="BE3" s="133"/>
      <c r="BF3" s="376" t="s">
        <v>59</v>
      </c>
      <c r="BG3" s="417" t="s">
        <v>60</v>
      </c>
      <c r="BH3" s="418"/>
      <c r="BI3" s="417"/>
      <c r="BJ3" s="418"/>
      <c r="BK3" s="419"/>
      <c r="BL3" s="135"/>
      <c r="BM3" s="376" t="s">
        <v>59</v>
      </c>
      <c r="BN3" s="417" t="s">
        <v>60</v>
      </c>
      <c r="BO3" s="418"/>
      <c r="BP3" s="417"/>
      <c r="BQ3" s="418"/>
      <c r="BR3" s="419"/>
      <c r="BS3" s="136"/>
      <c r="BT3" s="376" t="s">
        <v>59</v>
      </c>
      <c r="BU3" s="417" t="s">
        <v>60</v>
      </c>
      <c r="BV3" s="418"/>
      <c r="BW3" s="417"/>
      <c r="BX3" s="418"/>
      <c r="BY3" s="419"/>
      <c r="BZ3" s="137" t="s">
        <v>61</v>
      </c>
      <c r="CA3" s="137" t="s">
        <v>62</v>
      </c>
      <c r="CB3" s="137" t="s">
        <v>63</v>
      </c>
      <c r="CC3" s="138"/>
      <c r="CD3" s="139" t="s">
        <v>64</v>
      </c>
      <c r="CE3" s="139" t="s">
        <v>65</v>
      </c>
      <c r="CF3" s="139" t="s">
        <v>66</v>
      </c>
      <c r="CG3" s="139" t="s">
        <v>67</v>
      </c>
      <c r="CH3" s="139" t="s">
        <v>68</v>
      </c>
      <c r="CI3" s="139" t="s">
        <v>69</v>
      </c>
      <c r="CJ3" s="139" t="s">
        <v>68</v>
      </c>
      <c r="CK3" s="139" t="s">
        <v>69</v>
      </c>
      <c r="CL3" s="140"/>
      <c r="CM3" s="141" t="s">
        <v>56</v>
      </c>
      <c r="CN3" s="141" t="s">
        <v>70</v>
      </c>
      <c r="CO3" s="141" t="s">
        <v>71</v>
      </c>
      <c r="CP3" s="142" t="s">
        <v>72</v>
      </c>
      <c r="CQ3" s="142"/>
      <c r="CR3" s="143" t="s">
        <v>73</v>
      </c>
      <c r="CS3" s="141" t="s">
        <v>74</v>
      </c>
      <c r="CT3" s="141" t="s">
        <v>74</v>
      </c>
      <c r="CU3" s="138"/>
      <c r="CV3" s="139"/>
      <c r="CW3" s="139" t="s">
        <v>75</v>
      </c>
      <c r="CX3" s="144" t="s">
        <v>76</v>
      </c>
      <c r="CY3" s="145" t="s">
        <v>77</v>
      </c>
      <c r="CZ3" s="139" t="s">
        <v>78</v>
      </c>
      <c r="DA3" s="146"/>
      <c r="DB3" s="147"/>
      <c r="DC3" s="148" t="s">
        <v>79</v>
      </c>
      <c r="DD3" s="148" t="s">
        <v>79</v>
      </c>
      <c r="DE3" s="148" t="s">
        <v>80</v>
      </c>
      <c r="DF3" s="148" t="s">
        <v>80</v>
      </c>
      <c r="DG3" s="148" t="s">
        <v>80</v>
      </c>
      <c r="DH3" s="56"/>
      <c r="DI3" s="56"/>
      <c r="DJ3" s="57"/>
      <c r="DK3" s="57"/>
      <c r="DL3" s="149" t="s">
        <v>81</v>
      </c>
      <c r="DM3" s="150"/>
      <c r="DN3" s="150"/>
    </row>
    <row r="4" spans="1:118" ht="15">
      <c r="A4" s="151" t="s">
        <v>82</v>
      </c>
      <c r="B4" s="391" t="s">
        <v>83</v>
      </c>
      <c r="C4" s="152" t="s">
        <v>84</v>
      </c>
      <c r="D4" s="10"/>
      <c r="E4" s="10"/>
      <c r="F4" s="9"/>
      <c r="G4" s="9"/>
      <c r="H4" s="153"/>
      <c r="I4" s="154"/>
      <c r="J4" s="155"/>
      <c r="K4" s="155"/>
      <c r="L4" s="156"/>
      <c r="M4" s="156"/>
      <c r="N4" s="157"/>
      <c r="O4" s="157"/>
      <c r="P4" s="158"/>
      <c r="Q4" s="158"/>
      <c r="R4" s="159"/>
      <c r="S4" s="159"/>
      <c r="T4" s="52"/>
      <c r="U4" s="52"/>
      <c r="V4" s="160"/>
      <c r="W4" s="160"/>
      <c r="X4" s="123" t="s">
        <v>85</v>
      </c>
      <c r="Y4" s="121" t="s">
        <v>86</v>
      </c>
      <c r="Z4" s="123" t="s">
        <v>68</v>
      </c>
      <c r="AA4" s="123" t="s">
        <v>69</v>
      </c>
      <c r="AB4" s="121" t="s">
        <v>86</v>
      </c>
      <c r="AC4" s="123" t="s">
        <v>69</v>
      </c>
      <c r="AD4" s="123" t="s">
        <v>87</v>
      </c>
      <c r="AE4" s="128" t="s">
        <v>85</v>
      </c>
      <c r="AF4" s="126" t="s">
        <v>86</v>
      </c>
      <c r="AG4" s="128" t="s">
        <v>68</v>
      </c>
      <c r="AH4" s="128" t="s">
        <v>69</v>
      </c>
      <c r="AI4" s="126" t="s">
        <v>86</v>
      </c>
      <c r="AJ4" s="128" t="s">
        <v>69</v>
      </c>
      <c r="AK4" s="128" t="s">
        <v>87</v>
      </c>
      <c r="AL4" s="161" t="s">
        <v>85</v>
      </c>
      <c r="AM4" s="162" t="s">
        <v>88</v>
      </c>
      <c r="AN4" s="161" t="s">
        <v>68</v>
      </c>
      <c r="AO4" s="161" t="s">
        <v>69</v>
      </c>
      <c r="AP4" s="161" t="s">
        <v>89</v>
      </c>
      <c r="AQ4" s="163" t="s">
        <v>90</v>
      </c>
      <c r="AR4" s="163"/>
      <c r="AS4" s="396" t="s">
        <v>91</v>
      </c>
      <c r="AT4" s="164">
        <f>SUM(AM7:AM100)</f>
        <v>173984.9240097436</v>
      </c>
      <c r="AU4" s="165"/>
      <c r="AV4" s="87"/>
      <c r="AW4" s="359"/>
      <c r="AX4" s="87"/>
      <c r="AY4" s="166"/>
      <c r="AZ4" s="167"/>
      <c r="BA4" s="396" t="s">
        <v>92</v>
      </c>
      <c r="BB4" s="168">
        <v>10000</v>
      </c>
      <c r="BC4" s="168">
        <v>15000</v>
      </c>
      <c r="BD4" s="168">
        <v>15000</v>
      </c>
      <c r="BE4" s="133"/>
      <c r="BF4" s="376" t="s">
        <v>93</v>
      </c>
      <c r="BG4" s="420" t="s">
        <v>94</v>
      </c>
      <c r="BH4" s="421"/>
      <c r="BI4" s="422" t="s">
        <v>95</v>
      </c>
      <c r="BJ4" s="423"/>
      <c r="BK4" s="424" t="s">
        <v>96</v>
      </c>
      <c r="BL4" s="135"/>
      <c r="BM4" s="376" t="s">
        <v>93</v>
      </c>
      <c r="BN4" s="420" t="s">
        <v>94</v>
      </c>
      <c r="BO4" s="421"/>
      <c r="BP4" s="422" t="s">
        <v>95</v>
      </c>
      <c r="BQ4" s="423"/>
      <c r="BR4" s="424" t="s">
        <v>96</v>
      </c>
      <c r="BS4" s="136"/>
      <c r="BT4" s="376" t="s">
        <v>93</v>
      </c>
      <c r="BU4" s="420" t="s">
        <v>94</v>
      </c>
      <c r="BV4" s="421"/>
      <c r="BW4" s="422" t="s">
        <v>95</v>
      </c>
      <c r="BX4" s="423"/>
      <c r="BY4" s="424" t="s">
        <v>96</v>
      </c>
      <c r="BZ4" s="368" t="s">
        <v>97</v>
      </c>
      <c r="CA4" s="368" t="s">
        <v>98</v>
      </c>
      <c r="CB4" s="369">
        <f>AT32</f>
        <v>65799.2651697436</v>
      </c>
      <c r="CC4" s="138"/>
      <c r="CD4" s="170" t="s">
        <v>99</v>
      </c>
      <c r="CE4" s="170" t="s">
        <v>100</v>
      </c>
      <c r="CF4" s="170" t="s">
        <v>96</v>
      </c>
      <c r="CG4" s="170" t="s">
        <v>101</v>
      </c>
      <c r="CH4" s="170" t="s">
        <v>96</v>
      </c>
      <c r="CI4" s="170" t="s">
        <v>96</v>
      </c>
      <c r="CJ4" s="170" t="s">
        <v>102</v>
      </c>
      <c r="CK4" s="170" t="s">
        <v>102</v>
      </c>
      <c r="CL4" s="140"/>
      <c r="CM4" s="171" t="s">
        <v>103</v>
      </c>
      <c r="CN4" s="171" t="s">
        <v>104</v>
      </c>
      <c r="CO4" s="171" t="s">
        <v>104</v>
      </c>
      <c r="CP4" s="139" t="s">
        <v>95</v>
      </c>
      <c r="CQ4" s="139" t="s">
        <v>61</v>
      </c>
      <c r="CR4" s="172" t="s">
        <v>105</v>
      </c>
      <c r="CS4" s="171" t="s">
        <v>106</v>
      </c>
      <c r="CT4" s="171" t="s">
        <v>106</v>
      </c>
      <c r="CU4" s="138"/>
      <c r="CV4" s="170" t="s">
        <v>96</v>
      </c>
      <c r="CW4" s="170" t="s">
        <v>107</v>
      </c>
      <c r="CX4" s="170" t="s">
        <v>108</v>
      </c>
      <c r="CY4" s="173" t="s">
        <v>105</v>
      </c>
      <c r="CZ4" s="170" t="s">
        <v>109</v>
      </c>
      <c r="DA4" s="170" t="s">
        <v>110</v>
      </c>
      <c r="DB4" s="147"/>
      <c r="DC4" s="174">
        <f>A39</f>
        <v>0.05</v>
      </c>
      <c r="DD4" s="174">
        <f>AW8</f>
        <v>0.13</v>
      </c>
      <c r="DE4" s="174">
        <f>AW8</f>
        <v>0.13</v>
      </c>
      <c r="DF4" s="174">
        <f>AW8</f>
        <v>0.13</v>
      </c>
      <c r="DG4" s="174">
        <f>AW8</f>
        <v>0.13</v>
      </c>
      <c r="DH4" s="175" t="s">
        <v>111</v>
      </c>
      <c r="DI4" s="176">
        <f>CB12</f>
        <v>74036.7173948522</v>
      </c>
      <c r="DJ4" s="362" t="s">
        <v>112</v>
      </c>
      <c r="DK4" s="363">
        <f>IF(SUM(CW7:CW100)=0,0,CW7/SUM(CW7:CW100))</f>
        <v>0</v>
      </c>
      <c r="DL4" s="178" t="s">
        <v>113</v>
      </c>
      <c r="DM4" s="179"/>
      <c r="DN4" s="179"/>
    </row>
    <row r="5" spans="1:118" ht="15">
      <c r="A5" s="180"/>
      <c r="B5" s="392"/>
      <c r="C5" s="152"/>
      <c r="D5" s="394" t="s">
        <v>114</v>
      </c>
      <c r="E5" s="395" t="s">
        <v>115</v>
      </c>
      <c r="F5" s="181" t="s">
        <v>115</v>
      </c>
      <c r="G5" s="181" t="s">
        <v>116</v>
      </c>
      <c r="H5" s="182" t="s">
        <v>115</v>
      </c>
      <c r="I5" s="182" t="s">
        <v>117</v>
      </c>
      <c r="J5" s="183" t="s">
        <v>115</v>
      </c>
      <c r="K5" s="183" t="s">
        <v>118</v>
      </c>
      <c r="L5" s="184" t="s">
        <v>115</v>
      </c>
      <c r="M5" s="184" t="s">
        <v>119</v>
      </c>
      <c r="N5" s="128" t="s">
        <v>115</v>
      </c>
      <c r="O5" s="128" t="s">
        <v>120</v>
      </c>
      <c r="P5" s="185" t="s">
        <v>115</v>
      </c>
      <c r="Q5" s="185" t="s">
        <v>121</v>
      </c>
      <c r="R5" s="186" t="s">
        <v>115</v>
      </c>
      <c r="S5" s="186" t="s">
        <v>122</v>
      </c>
      <c r="T5" s="187" t="s">
        <v>115</v>
      </c>
      <c r="U5" s="188" t="s">
        <v>123</v>
      </c>
      <c r="V5" s="123" t="s">
        <v>115</v>
      </c>
      <c r="W5" s="123" t="s">
        <v>124</v>
      </c>
      <c r="X5" s="123" t="s">
        <v>125</v>
      </c>
      <c r="Y5" s="189" t="s">
        <v>126</v>
      </c>
      <c r="Z5" s="123" t="s">
        <v>127</v>
      </c>
      <c r="AA5" s="123" t="s">
        <v>128</v>
      </c>
      <c r="AB5" s="189" t="s">
        <v>126</v>
      </c>
      <c r="AC5" s="123" t="s">
        <v>128</v>
      </c>
      <c r="AD5" s="123" t="s">
        <v>127</v>
      </c>
      <c r="AE5" s="128" t="s">
        <v>125</v>
      </c>
      <c r="AF5" s="190" t="s">
        <v>126</v>
      </c>
      <c r="AG5" s="128" t="s">
        <v>127</v>
      </c>
      <c r="AH5" s="128" t="s">
        <v>128</v>
      </c>
      <c r="AI5" s="190" t="s">
        <v>126</v>
      </c>
      <c r="AJ5" s="128" t="s">
        <v>128</v>
      </c>
      <c r="AK5" s="128" t="s">
        <v>127</v>
      </c>
      <c r="AL5" s="161" t="s">
        <v>125</v>
      </c>
      <c r="AM5" s="191" t="s">
        <v>126</v>
      </c>
      <c r="AN5" s="161" t="s">
        <v>127</v>
      </c>
      <c r="AO5" s="161" t="s">
        <v>128</v>
      </c>
      <c r="AP5" s="161" t="s">
        <v>129</v>
      </c>
      <c r="AQ5" s="192" t="s">
        <v>130</v>
      </c>
      <c r="AR5" s="192" t="s">
        <v>131</v>
      </c>
      <c r="AS5" s="397"/>
      <c r="AT5" s="193"/>
      <c r="AU5" s="132"/>
      <c r="AV5" s="87"/>
      <c r="AW5" s="358"/>
      <c r="AX5" s="87"/>
      <c r="AY5" s="448" t="s">
        <v>132</v>
      </c>
      <c r="AZ5" s="447">
        <v>2000</v>
      </c>
      <c r="BA5" s="396" t="s">
        <v>133</v>
      </c>
      <c r="BB5" s="168">
        <v>11000</v>
      </c>
      <c r="BC5" s="168">
        <v>15000</v>
      </c>
      <c r="BD5" s="168">
        <v>15000</v>
      </c>
      <c r="BE5" s="195" t="s">
        <v>134</v>
      </c>
      <c r="BF5" s="375" t="s">
        <v>135</v>
      </c>
      <c r="BG5" s="425" t="s">
        <v>136</v>
      </c>
      <c r="BH5" s="426" t="s">
        <v>137</v>
      </c>
      <c r="BI5" s="395" t="s">
        <v>136</v>
      </c>
      <c r="BJ5" s="427" t="s">
        <v>137</v>
      </c>
      <c r="BK5" s="424" t="s">
        <v>138</v>
      </c>
      <c r="BL5" s="197" t="s">
        <v>134</v>
      </c>
      <c r="BM5" s="375" t="s">
        <v>135</v>
      </c>
      <c r="BN5" s="425" t="s">
        <v>136</v>
      </c>
      <c r="BO5" s="426" t="s">
        <v>137</v>
      </c>
      <c r="BP5" s="395" t="s">
        <v>136</v>
      </c>
      <c r="BQ5" s="427" t="s">
        <v>137</v>
      </c>
      <c r="BR5" s="424" t="s">
        <v>138</v>
      </c>
      <c r="BS5" s="198" t="s">
        <v>134</v>
      </c>
      <c r="BT5" s="375" t="s">
        <v>135</v>
      </c>
      <c r="BU5" s="425" t="s">
        <v>136</v>
      </c>
      <c r="BV5" s="426" t="s">
        <v>137</v>
      </c>
      <c r="BW5" s="395" t="s">
        <v>136</v>
      </c>
      <c r="BX5" s="427" t="s">
        <v>137</v>
      </c>
      <c r="BY5" s="424" t="s">
        <v>138</v>
      </c>
      <c r="BZ5" s="368" t="s">
        <v>139</v>
      </c>
      <c r="CA5" s="368" t="s">
        <v>140</v>
      </c>
      <c r="CB5" s="370">
        <f>AT34</f>
        <v>0.7293978706114131</v>
      </c>
      <c r="CC5" s="199" t="s">
        <v>134</v>
      </c>
      <c r="CD5" s="199" t="s">
        <v>129</v>
      </c>
      <c r="CE5" s="199" t="s">
        <v>129</v>
      </c>
      <c r="CF5" s="199" t="s">
        <v>129</v>
      </c>
      <c r="CG5" s="199" t="s">
        <v>129</v>
      </c>
      <c r="CH5" s="199" t="s">
        <v>127</v>
      </c>
      <c r="CI5" s="199" t="s">
        <v>128</v>
      </c>
      <c r="CJ5" s="199" t="s">
        <v>141</v>
      </c>
      <c r="CK5" s="199" t="s">
        <v>142</v>
      </c>
      <c r="CL5" s="200" t="s">
        <v>134</v>
      </c>
      <c r="CM5" s="200" t="s">
        <v>135</v>
      </c>
      <c r="CN5" s="141" t="s">
        <v>135</v>
      </c>
      <c r="CO5" s="141" t="s">
        <v>135</v>
      </c>
      <c r="CP5" s="139" t="s">
        <v>135</v>
      </c>
      <c r="CQ5" s="139" t="s">
        <v>135</v>
      </c>
      <c r="CR5" s="141" t="s">
        <v>135</v>
      </c>
      <c r="CS5" s="201" t="s">
        <v>135</v>
      </c>
      <c r="CT5" s="171" t="s">
        <v>143</v>
      </c>
      <c r="CU5" s="199" t="s">
        <v>134</v>
      </c>
      <c r="CV5" s="199" t="s">
        <v>129</v>
      </c>
      <c r="CW5" s="139" t="s">
        <v>135</v>
      </c>
      <c r="CX5" s="139" t="s">
        <v>135</v>
      </c>
      <c r="CY5" s="139" t="s">
        <v>135</v>
      </c>
      <c r="CZ5" s="139" t="s">
        <v>135</v>
      </c>
      <c r="DA5" s="139" t="s">
        <v>135</v>
      </c>
      <c r="DB5" s="202" t="s">
        <v>134</v>
      </c>
      <c r="DC5" s="203" t="s">
        <v>135</v>
      </c>
      <c r="DD5" s="203" t="s">
        <v>135</v>
      </c>
      <c r="DE5" s="204" t="s">
        <v>135</v>
      </c>
      <c r="DF5" s="204" t="s">
        <v>135</v>
      </c>
      <c r="DG5" s="204" t="s">
        <v>135</v>
      </c>
      <c r="DH5" s="175"/>
      <c r="DI5" s="205"/>
      <c r="DJ5" s="364"/>
      <c r="DK5" s="364"/>
      <c r="DL5" s="37"/>
      <c r="DM5" s="234" t="s">
        <v>144</v>
      </c>
      <c r="DN5" s="235" t="s">
        <v>145</v>
      </c>
    </row>
    <row r="6" spans="1:118" ht="20.25">
      <c r="A6" s="180" t="s">
        <v>330</v>
      </c>
      <c r="B6" s="391" t="s">
        <v>146</v>
      </c>
      <c r="C6" s="207">
        <v>745</v>
      </c>
      <c r="D6" s="10"/>
      <c r="E6" s="10"/>
      <c r="F6" s="9"/>
      <c r="G6" s="9"/>
      <c r="H6" s="208"/>
      <c r="I6" s="77"/>
      <c r="J6" s="155"/>
      <c r="K6" s="209"/>
      <c r="L6" s="156"/>
      <c r="M6" s="169"/>
      <c r="N6" s="157"/>
      <c r="O6" s="188"/>
      <c r="P6" s="158"/>
      <c r="Q6" s="210"/>
      <c r="R6" s="159"/>
      <c r="S6" s="211"/>
      <c r="T6" s="52"/>
      <c r="U6" s="80"/>
      <c r="V6" s="160"/>
      <c r="W6" s="212"/>
      <c r="X6" s="213"/>
      <c r="Y6" s="214"/>
      <c r="Z6" s="215"/>
      <c r="AA6" s="215"/>
      <c r="AB6" s="216"/>
      <c r="AC6" s="216"/>
      <c r="AD6" s="216"/>
      <c r="AE6" s="208"/>
      <c r="AF6" s="217"/>
      <c r="AG6" s="217"/>
      <c r="AH6" s="217"/>
      <c r="AI6" s="217"/>
      <c r="AJ6" s="217"/>
      <c r="AK6" s="217"/>
      <c r="AL6" s="52"/>
      <c r="AM6" s="218"/>
      <c r="AN6" s="218"/>
      <c r="AO6" s="218"/>
      <c r="AP6" s="218"/>
      <c r="AQ6" s="218"/>
      <c r="AR6" s="218"/>
      <c r="AS6" s="396" t="s">
        <v>147</v>
      </c>
      <c r="AT6" s="219">
        <f>(IF(SUM(Y7:Y100)+SUM(AF7:AF100)=0,0,(SUM(Z7:Z100)+SUM(AG7:AG100))/(SUM(Y7:Y100)+SUM(AF7:AF100))))*1000</f>
        <v>348.90764849253145</v>
      </c>
      <c r="AU6" s="220"/>
      <c r="AV6" s="221" t="s">
        <v>148</v>
      </c>
      <c r="AW6" s="87"/>
      <c r="AX6" s="222"/>
      <c r="AY6" s="412" t="s">
        <v>149</v>
      </c>
      <c r="AZ6" s="462">
        <v>21.68</v>
      </c>
      <c r="BA6" s="416"/>
      <c r="BB6" s="223"/>
      <c r="BC6" s="223"/>
      <c r="BD6" s="223"/>
      <c r="BE6" s="133"/>
      <c r="BF6" s="224"/>
      <c r="BG6" s="157"/>
      <c r="BH6" s="43"/>
      <c r="BI6" s="208"/>
      <c r="BJ6" s="37"/>
      <c r="BK6" s="134"/>
      <c r="BL6" s="135"/>
      <c r="BM6" s="224"/>
      <c r="BN6" s="157"/>
      <c r="BO6" s="43"/>
      <c r="BP6" s="208"/>
      <c r="BQ6" s="37"/>
      <c r="BR6" s="134"/>
      <c r="BS6" s="136"/>
      <c r="BT6" s="224"/>
      <c r="BU6" s="157"/>
      <c r="BV6" s="43"/>
      <c r="BW6" s="208"/>
      <c r="BX6" s="37"/>
      <c r="BY6" s="134"/>
      <c r="BZ6" s="368" t="s">
        <v>150</v>
      </c>
      <c r="CA6" s="368" t="s">
        <v>140</v>
      </c>
      <c r="CB6" s="371">
        <v>0.5</v>
      </c>
      <c r="CC6" s="47"/>
      <c r="CD6" s="47"/>
      <c r="CE6" s="225"/>
      <c r="CF6" s="47"/>
      <c r="CG6" s="47"/>
      <c r="CH6" s="47"/>
      <c r="CI6" s="47"/>
      <c r="CJ6" s="226"/>
      <c r="CK6" s="226"/>
      <c r="CL6" s="48"/>
      <c r="CM6" s="227"/>
      <c r="CN6" s="48"/>
      <c r="CO6" s="48"/>
      <c r="CP6" s="227"/>
      <c r="CQ6" s="48"/>
      <c r="CR6" s="48"/>
      <c r="CS6" s="48"/>
      <c r="CT6" s="48"/>
      <c r="CU6" s="50"/>
      <c r="CV6" s="80"/>
      <c r="CW6" s="80"/>
      <c r="CX6" s="80"/>
      <c r="CY6" s="80"/>
      <c r="CZ6" s="80"/>
      <c r="DA6" s="228"/>
      <c r="DB6" s="229"/>
      <c r="DC6" s="230"/>
      <c r="DD6" s="231"/>
      <c r="DE6" s="231"/>
      <c r="DF6" s="231"/>
      <c r="DG6" s="229"/>
      <c r="DH6" s="175" t="s">
        <v>151</v>
      </c>
      <c r="DI6" s="176">
        <f>CB13</f>
        <v>-8237.452225108602</v>
      </c>
      <c r="DJ6" s="365" t="s">
        <v>152</v>
      </c>
      <c r="DK6" s="366">
        <f>IF(AND(CB4&gt;=AW36,CB4&lt;AW38),IF(SUM(DC7:DC100)&lt;0,0,1),0)</f>
        <v>1</v>
      </c>
      <c r="DL6" s="428" t="s">
        <v>153</v>
      </c>
      <c r="DM6" s="430"/>
      <c r="DN6" s="429"/>
    </row>
    <row r="7" spans="1:118" ht="15">
      <c r="A7" s="8"/>
      <c r="B7" s="392"/>
      <c r="C7" s="152"/>
      <c r="D7" s="236" t="s">
        <v>154</v>
      </c>
      <c r="E7" s="237">
        <v>1</v>
      </c>
      <c r="F7" s="238">
        <f aca="true" t="shared" si="0" ref="F7:F38">$E7</f>
        <v>1</v>
      </c>
      <c r="G7" s="450">
        <v>1</v>
      </c>
      <c r="H7" s="239">
        <f aca="true" t="shared" si="1" ref="H7:H38">$E7</f>
        <v>1</v>
      </c>
      <c r="I7" s="453">
        <v>3</v>
      </c>
      <c r="J7" s="240">
        <f aca="true" t="shared" si="2" ref="J7:J38">$E7</f>
        <v>1</v>
      </c>
      <c r="K7" s="451">
        <v>0.5877665663231899</v>
      </c>
      <c r="L7" s="241">
        <f aca="true" t="shared" si="3" ref="L7:L38">$E7</f>
        <v>1</v>
      </c>
      <c r="M7" s="454">
        <v>1580.0056410413185</v>
      </c>
      <c r="N7" s="242">
        <f aca="true" t="shared" si="4" ref="N7:N38">$E7</f>
        <v>1</v>
      </c>
      <c r="O7" s="455">
        <v>139.56630752099937</v>
      </c>
      <c r="P7" s="243">
        <f aca="true" t="shared" si="5" ref="P7:P38">$E7</f>
        <v>1</v>
      </c>
      <c r="Q7" s="454">
        <v>252.99636338790233</v>
      </c>
      <c r="R7" s="244">
        <f aca="true" t="shared" si="6" ref="R7:R38">$E7</f>
        <v>1</v>
      </c>
      <c r="S7" s="456">
        <v>105.00200105365924</v>
      </c>
      <c r="T7" s="245">
        <f aca="true" t="shared" si="7" ref="T7:T38">$E7</f>
        <v>1</v>
      </c>
      <c r="U7" s="454">
        <v>276.7078839780903</v>
      </c>
      <c r="V7" s="246">
        <f aca="true" t="shared" si="8" ref="V7:V38">$E7</f>
        <v>1</v>
      </c>
      <c r="W7" s="455">
        <v>901.2723525676759</v>
      </c>
      <c r="X7" s="247">
        <f aca="true" t="shared" si="9" ref="X7:X38">$E7</f>
        <v>1</v>
      </c>
      <c r="Y7" s="248">
        <f aca="true" t="shared" si="10" ref="Y7:Y22">IF(I7=1,Q7*S7,0)*G7</f>
        <v>0</v>
      </c>
      <c r="Z7" s="249">
        <f aca="true" t="shared" si="11" ref="Z7:Z22">IF(I7=1,Q7*S7*(U7/1000),0)*G7</f>
        <v>0</v>
      </c>
      <c r="AA7" s="249">
        <f aca="true" t="shared" si="12" ref="AA7:AA22">Z7*($M7/1000)</f>
        <v>0</v>
      </c>
      <c r="AB7" s="250">
        <f aca="true" t="shared" si="13" ref="AB7:AB22">IF(I7=2,Q7*S7,0)*G7</f>
        <v>0</v>
      </c>
      <c r="AC7" s="250">
        <f aca="true" t="shared" si="14" ref="AC7:AC22">IF(I7=2,Q7*S7*(W7/1000),0)*G7</f>
        <v>0</v>
      </c>
      <c r="AD7" s="250">
        <f>AC7*($O7/1000)</f>
        <v>0</v>
      </c>
      <c r="AE7" s="239">
        <f aca="true" t="shared" si="15" ref="AE7:AE38">$E7</f>
        <v>1</v>
      </c>
      <c r="AF7" s="251">
        <f aca="true" t="shared" si="16" ref="AF7:AF22">IF(I7=3,Q7*S7*K7,0)*G7</f>
        <v>15614.091961369626</v>
      </c>
      <c r="AG7" s="251">
        <f aca="true" t="shared" si="17" ref="AG7:AG22">IF(I7=3,Q7*S7*(U7/1000)*K7,0)*G7</f>
        <v>4320.542346869899</v>
      </c>
      <c r="AH7" s="251">
        <f>AG7*($M7/1000)</f>
        <v>6826.481280412338</v>
      </c>
      <c r="AI7" s="251">
        <f aca="true" t="shared" si="18" ref="AI7:AI22">IF(I7=3,Q7*S7*(1-K7),0)*G7</f>
        <v>10951.03245365885</v>
      </c>
      <c r="AJ7" s="251">
        <f aca="true" t="shared" si="19" ref="AJ7:AJ22">IF(I7=3,Q7*S7*(W7/1000)*(1-K7),0)*G7</f>
        <v>9869.86278255408</v>
      </c>
      <c r="AK7" s="251">
        <f>AJ7*($O7/1000)</f>
        <v>1377.5003043000095</v>
      </c>
      <c r="AL7" s="245">
        <f aca="true" t="shared" si="20" ref="AL7:AL38">$E7</f>
        <v>1</v>
      </c>
      <c r="AM7" s="252">
        <f>Y7+AB7+AF7+AI7</f>
        <v>26565.124415028477</v>
      </c>
      <c r="AN7" s="252">
        <f aca="true" t="shared" si="21" ref="AN7:AN22">Z7+AD7+AG7+AK7</f>
        <v>5698.042651169909</v>
      </c>
      <c r="AO7" s="252">
        <f aca="true" t="shared" si="22" ref="AO7:AO22">AA7+AC7+AH7+AJ7</f>
        <v>16696.34406296642</v>
      </c>
      <c r="AP7" s="252">
        <f aca="true" t="shared" si="23" ref="AP7:AP22">AN7+(AO7/A$36)</f>
        <v>8668.922377676388</v>
      </c>
      <c r="AQ7" s="252">
        <f aca="true" t="shared" si="24" ref="AQ7:AQ22">IF(I7=1,(Q7*S7*(U7/1000))+((Q7*S7*(U7/1000))*(M7/5620)),IF(I7=2,(Q7*S7*(W7/5620))+((Q7*S7*(W7/1000))*(O7/1000)),(Q7*S7*(U7/1000)*K7)+((Q7*S7*(U7/1000)*K7)*(M7/5620))+(Q7*S7*(W7/5620)*(1-K7))+((Q7*S7*(W7/1000)*(1-K7))*(O7/1000))))</f>
        <v>8668.922377676388</v>
      </c>
      <c r="AR7" s="252">
        <f>IF(G7=0,0,AQ7)</f>
        <v>8668.922377676388</v>
      </c>
      <c r="AS7" s="398"/>
      <c r="AT7" s="253"/>
      <c r="AU7" s="254"/>
      <c r="AV7" s="255"/>
      <c r="AW7" s="255"/>
      <c r="AX7" s="256"/>
      <c r="AY7" s="412" t="s">
        <v>155</v>
      </c>
      <c r="AZ7" s="463">
        <v>-0.026</v>
      </c>
      <c r="BA7" s="396" t="s">
        <v>156</v>
      </c>
      <c r="BB7" s="464">
        <v>0.013710867615049178</v>
      </c>
      <c r="BC7" s="464">
        <v>0.017194687520896406</v>
      </c>
      <c r="BD7" s="464">
        <v>-0.03184696877173473</v>
      </c>
      <c r="BE7" s="257">
        <f>YEAR($C$8)</f>
        <v>1999</v>
      </c>
      <c r="BF7" s="224"/>
      <c r="BG7" s="157"/>
      <c r="BH7" s="43"/>
      <c r="BI7" s="208"/>
      <c r="BJ7" s="37"/>
      <c r="BK7" s="134"/>
      <c r="BL7" s="264">
        <f>YEAR($C$8)</f>
        <v>1999</v>
      </c>
      <c r="BM7" s="224"/>
      <c r="BN7" s="157"/>
      <c r="BO7" s="43"/>
      <c r="BP7" s="208"/>
      <c r="BQ7" s="37"/>
      <c r="BR7" s="134"/>
      <c r="BS7" s="357">
        <f>YEAR($C$8)</f>
        <v>1999</v>
      </c>
      <c r="BT7" s="224"/>
      <c r="BU7" s="157"/>
      <c r="BV7" s="43"/>
      <c r="BW7" s="208"/>
      <c r="BX7" s="37"/>
      <c r="BY7" s="134"/>
      <c r="BZ7" s="368" t="s">
        <v>157</v>
      </c>
      <c r="CA7" s="368" t="s">
        <v>158</v>
      </c>
      <c r="CB7" s="372">
        <f>A36</f>
        <v>5.62</v>
      </c>
      <c r="CC7" s="266">
        <f>YEAR($C$8)</f>
        <v>1999</v>
      </c>
      <c r="CD7" s="267">
        <f>IF(CB$12&lt;AW$36,BK7,IF(CB$12&lt;AW$38,BR7,BY7))</f>
        <v>0</v>
      </c>
      <c r="CE7" s="267">
        <f>(CD7/SUM(CD$7:CD$100))*CB$12</f>
        <v>0</v>
      </c>
      <c r="CF7" s="267">
        <f>IF(CB$5&gt;=CB$6,IF(CE7+CF6-CB$8&lt;=0,0,CE7+CF6-CB$8),IF(CE7+CF6-CB$9&lt;=0,0,CE7+CF6-CB$9))</f>
        <v>0</v>
      </c>
      <c r="CG7" s="268">
        <f>IF(CB$5&gt;=CB$6,IF(CF7&gt;0,CB$8,CE7),IF(CF7&gt;0,CB$9,CE7))</f>
        <v>0</v>
      </c>
      <c r="CH7" s="267">
        <f>CG7*CB$16</f>
        <v>0</v>
      </c>
      <c r="CI7" s="267">
        <f>(CG7-CH7)*CB$7</f>
        <v>0</v>
      </c>
      <c r="CJ7" s="269">
        <f aca="true" t="shared" si="25" ref="CJ7:CJ23">IF(CC7=0,"",IF(CC7&lt;AZ$5,0,IF(CC7&lt;AZ$9,CB$43*CB$44^(CC7-AZ$5),IF(CC7&lt;AZ$12,CB$47*CB$49^(CC7-AZ$9),CB$51*CB$53^(CC7-AZ$12)))))</f>
        <v>0</v>
      </c>
      <c r="CK7" s="269">
        <f>IF(CC7=0,"",IF(CC7&lt;AZ$31,0,IF(CC7&lt;AZ$35,CB$45*CB$46^(CC7-AZ$31),IF(CC7&lt;AZ$38,CB$48*CB$50^(CC7-AZ$35),CB$52*CB$54^(CC7-AZ$38)))))</f>
        <v>0</v>
      </c>
      <c r="CL7" s="270">
        <f>YEAR($C$8)</f>
        <v>1999</v>
      </c>
      <c r="CM7" s="271">
        <f aca="true" t="shared" si="26" ref="CM7:CM22">(CH7*CJ7)+(CI7*CK7)</f>
        <v>0</v>
      </c>
      <c r="CN7" s="271">
        <f>IF(CB$4&lt;AW$36,BF7*CB$18,IF(CB$4&lt;AW$38,BM7*CB$18,BT7*CB$18))</f>
        <v>0</v>
      </c>
      <c r="CO7" s="271">
        <f>IF(CB$12&lt;AW$36,(BG7*CB$20)+(BH7*CB$21)+(BI7*CB$22)+(BJ7*CB$23),IF(CB$12&lt;AW$38,(BN7*CB$20)+(BO7*CB$21)+(BP7*CB$22)+(BQ7*CB$23),(BU7*CB$20)+(BV7*CB$21)+(BW7*CB$22)+(BX7*CB$23)))</f>
        <v>0</v>
      </c>
      <c r="CP7" s="271">
        <f aca="true" t="shared" si="27" ref="CP7:CP22">IF(CG7&gt;0,CB$24,0)</f>
        <v>0</v>
      </c>
      <c r="CQ7" s="271">
        <f aca="true" t="shared" si="28" ref="CQ7:CQ22">CG7*CB$25</f>
        <v>0</v>
      </c>
      <c r="CR7" s="271">
        <f aca="true" t="shared" si="29" ref="CR7:CR22">(CH7*CB$26)+(CI7*CB$37)</f>
        <v>0</v>
      </c>
      <c r="CS7" s="271">
        <f>CM7-CP7-CQ7-CR7</f>
        <v>0</v>
      </c>
      <c r="CT7" s="271">
        <f>IF(CS7&lt;=0,0,1)</f>
        <v>0</v>
      </c>
      <c r="CU7" s="272">
        <f>YEAR($C$8)</f>
        <v>1999</v>
      </c>
      <c r="CV7" s="273">
        <f aca="true" t="shared" si="30" ref="CV7:CV22">IF(SUM(CT$7:CT$100)=0,0,CG7)</f>
        <v>0</v>
      </c>
      <c r="CW7" s="273">
        <f aca="true" t="shared" si="31" ref="CW7:CW22">IF(SUM(CT$7:CT$100)=0,0,CN7+CO7)</f>
        <v>0</v>
      </c>
      <c r="CX7" s="273">
        <f aca="true" t="shared" si="32" ref="CX7:CX22">IF(SUM(CT$7:CT$100)=0,0,CP7+CQ7+CR7)</f>
        <v>0</v>
      </c>
      <c r="CY7" s="273">
        <f>IF(CT6=0,0,IF(CT7&gt;0,0,IF(AND(SUM(CT6:CT$7)&gt;0,SUM(CT7:CT$100)=0),CB$42,0)))</f>
        <v>0</v>
      </c>
      <c r="CZ7" s="273">
        <f>IF(CT6=0,0,IF(CT7&gt;0,0,IF(AND(SUM(CT6:CT$7)&gt;0,SUM(CT7:CT$100)=0),CB$41,0)))</f>
        <v>0</v>
      </c>
      <c r="DA7" s="273">
        <f>IF(SUM(CT$7:CT$100)=0,0,IF(SUM(CT7:CT$100)=0,CZ7-CY7,CM7-SUM(CN7:CR7)-CY7+CZ7))</f>
        <v>0</v>
      </c>
      <c r="DB7" s="274">
        <f>YEAR($C$8)</f>
        <v>1999</v>
      </c>
      <c r="DC7" s="275">
        <f>DA7/((1+A$39)^(CB55/2))</f>
        <v>0</v>
      </c>
      <c r="DD7" s="275">
        <f>DA7/((1+AW$8)^(CB55/2))</f>
        <v>0</v>
      </c>
      <c r="DE7" s="275">
        <f>IF(CV7=0,CW7,CW7/2)/((1+AW$8)^(CB55/2))</f>
        <v>0</v>
      </c>
      <c r="DF7" s="275">
        <f>IF(DA7=0,0,CW7)/((1+AW$8)^(CB55/2))</f>
        <v>0</v>
      </c>
      <c r="DG7" s="360">
        <f>((CM7-CR7)/IF(C$6&lt;400,6,8))/((1+AW$8)^(CB55/2))</f>
        <v>0</v>
      </c>
      <c r="DH7" s="175"/>
      <c r="DI7" s="205"/>
      <c r="DJ7" s="365"/>
      <c r="DK7" s="365"/>
      <c r="DL7" s="433" t="s">
        <v>159</v>
      </c>
      <c r="DM7" s="434"/>
      <c r="DN7" s="443">
        <v>0.902</v>
      </c>
    </row>
    <row r="8" spans="1:118" ht="15">
      <c r="A8" s="276"/>
      <c r="B8" s="391" t="s">
        <v>160</v>
      </c>
      <c r="C8" s="356">
        <v>36474</v>
      </c>
      <c r="D8" s="277" t="s">
        <v>161</v>
      </c>
      <c r="E8" s="237">
        <v>2</v>
      </c>
      <c r="F8" s="238">
        <f t="shared" si="0"/>
        <v>2</v>
      </c>
      <c r="G8" s="451">
        <v>1</v>
      </c>
      <c r="H8" s="239">
        <f t="shared" si="1"/>
        <v>2</v>
      </c>
      <c r="I8" s="453">
        <v>1</v>
      </c>
      <c r="J8" s="240">
        <f t="shared" si="2"/>
        <v>2</v>
      </c>
      <c r="K8" s="451">
        <v>0.41016367895566136</v>
      </c>
      <c r="L8" s="241">
        <f t="shared" si="3"/>
        <v>2</v>
      </c>
      <c r="M8" s="454">
        <v>705.2971409303324</v>
      </c>
      <c r="N8" s="242">
        <f t="shared" si="4"/>
        <v>2</v>
      </c>
      <c r="O8" s="455">
        <v>62.069960484506296</v>
      </c>
      <c r="P8" s="243">
        <f t="shared" si="5"/>
        <v>2</v>
      </c>
      <c r="Q8" s="454">
        <v>237.8989989908652</v>
      </c>
      <c r="R8" s="244">
        <f t="shared" si="6"/>
        <v>2</v>
      </c>
      <c r="S8" s="456">
        <v>56.01828307517148</v>
      </c>
      <c r="T8" s="245">
        <f t="shared" si="7"/>
        <v>2</v>
      </c>
      <c r="U8" s="454">
        <v>326.4270106142159</v>
      </c>
      <c r="V8" s="246">
        <f t="shared" si="8"/>
        <v>2</v>
      </c>
      <c r="W8" s="455">
        <v>1020.427064499679</v>
      </c>
      <c r="X8" s="247">
        <f t="shared" si="9"/>
        <v>2</v>
      </c>
      <c r="Y8" s="248">
        <f t="shared" si="10"/>
        <v>13326.693468770221</v>
      </c>
      <c r="Z8" s="249">
        <f t="shared" si="11"/>
        <v>4350.192710382658</v>
      </c>
      <c r="AA8" s="249">
        <f t="shared" si="12"/>
        <v>3068.178481128862</v>
      </c>
      <c r="AB8" s="250">
        <f t="shared" si="13"/>
        <v>0</v>
      </c>
      <c r="AC8" s="250">
        <f t="shared" si="14"/>
        <v>0</v>
      </c>
      <c r="AD8" s="250">
        <f>AC8*($O8/1000)</f>
        <v>0</v>
      </c>
      <c r="AE8" s="239">
        <f t="shared" si="15"/>
        <v>2</v>
      </c>
      <c r="AF8" s="251">
        <f t="shared" si="16"/>
        <v>0</v>
      </c>
      <c r="AG8" s="251">
        <f t="shared" si="17"/>
        <v>0</v>
      </c>
      <c r="AH8" s="251">
        <f aca="true" t="shared" si="33" ref="AH8:AH23">AG8*($M8/1000)</f>
        <v>0</v>
      </c>
      <c r="AI8" s="251">
        <f t="shared" si="18"/>
        <v>0</v>
      </c>
      <c r="AJ8" s="251">
        <f t="shared" si="19"/>
        <v>0</v>
      </c>
      <c r="AK8" s="251">
        <f aca="true" t="shared" si="34" ref="AK8:AK23">AJ8*($O8/1000)</f>
        <v>0</v>
      </c>
      <c r="AL8" s="245">
        <f t="shared" si="20"/>
        <v>2</v>
      </c>
      <c r="AM8" s="252">
        <f aca="true" t="shared" si="35" ref="AM8:AM23">Y8+AB8+AF8+AI8</f>
        <v>13326.693468770221</v>
      </c>
      <c r="AN8" s="252">
        <f t="shared" si="21"/>
        <v>4350.192710382658</v>
      </c>
      <c r="AO8" s="252">
        <f t="shared" si="22"/>
        <v>3068.178481128862</v>
      </c>
      <c r="AP8" s="252">
        <f t="shared" si="23"/>
        <v>4896.131941900249</v>
      </c>
      <c r="AQ8" s="252">
        <f t="shared" si="24"/>
        <v>4896.131941900249</v>
      </c>
      <c r="AR8" s="252">
        <f aca="true" t="shared" si="36" ref="AR8:AR23">IF(G8=0,0,AQ8)</f>
        <v>4896.131941900249</v>
      </c>
      <c r="AS8" s="399" t="s">
        <v>162</v>
      </c>
      <c r="AT8" s="278">
        <f>(IF(SUM(AB7:AB100)+SUM(AI7:AI100)=0,0,(SUM(AC7:AC100)+SUM(AJ7:AJ100))/(SUM(AB7:AB100)+SUM(AI7:AI100))))*1000</f>
        <v>943.2418397109486</v>
      </c>
      <c r="AU8" s="279"/>
      <c r="AV8" s="400" t="s">
        <v>163</v>
      </c>
      <c r="AW8" s="288">
        <v>0.13</v>
      </c>
      <c r="AX8" s="37"/>
      <c r="AY8" s="413"/>
      <c r="AZ8" s="158"/>
      <c r="BA8" s="416"/>
      <c r="BB8" s="223"/>
      <c r="BC8" s="223"/>
      <c r="BD8" s="223"/>
      <c r="BE8" s="257">
        <f aca="true" t="shared" si="37" ref="BE8:BE23">BE7+1</f>
        <v>2000</v>
      </c>
      <c r="BF8" s="258">
        <f>19000*1.5</f>
        <v>28500</v>
      </c>
      <c r="BG8" s="259">
        <v>0</v>
      </c>
      <c r="BH8" s="260"/>
      <c r="BI8" s="261"/>
      <c r="BJ8" s="262"/>
      <c r="BK8" s="263"/>
      <c r="BL8" s="264">
        <f aca="true" t="shared" si="38" ref="BL8:BL23">BL7+1</f>
        <v>2000</v>
      </c>
      <c r="BM8" s="258">
        <f>21000*1.5</f>
        <v>31500</v>
      </c>
      <c r="BN8" s="259">
        <v>0</v>
      </c>
      <c r="BO8" s="260"/>
      <c r="BP8" s="261"/>
      <c r="BQ8" s="262"/>
      <c r="BR8" s="263"/>
      <c r="BS8" s="265">
        <f aca="true" t="shared" si="39" ref="BS8:BS23">BS7+1</f>
        <v>2000</v>
      </c>
      <c r="BT8" s="258">
        <f>23000*1.5</f>
        <v>34500</v>
      </c>
      <c r="BU8" s="259">
        <v>0</v>
      </c>
      <c r="BV8" s="260"/>
      <c r="BW8" s="261"/>
      <c r="BX8" s="262"/>
      <c r="BY8" s="263"/>
      <c r="BZ8" s="368" t="s">
        <v>164</v>
      </c>
      <c r="CA8" s="368" t="s">
        <v>165</v>
      </c>
      <c r="CB8" s="369">
        <f>(IF(CB$4&lt;AW$36,BB4,IF(CB$4&lt;AW$38,BC4,BD4)))/IF(CB5=0,1,CB5)</f>
        <v>20564.90785670425</v>
      </c>
      <c r="CC8" s="266">
        <f aca="true" t="shared" si="40" ref="CC8:CC23">CC7+1</f>
        <v>2000</v>
      </c>
      <c r="CD8" s="267">
        <f>IF(CB$12&lt;AW$36,BK8,IF(CB$12&lt;AW$38,BR8,BY8))</f>
        <v>0</v>
      </c>
      <c r="CE8" s="267">
        <f aca="true" t="shared" si="41" ref="CE8:CE23">(CD8/SUM(CD$7:CD$100))*CB$12</f>
        <v>0</v>
      </c>
      <c r="CF8" s="267">
        <f aca="true" t="shared" si="42" ref="CF8:CF23">IF(CB$5&gt;=CB$6,IF(CE8+CF7-CB$8&lt;=0,0,CE8+CF7-CB$8),IF(CE8+CF7-CB$9&lt;=0,0,CE8+CF7-CB$9))</f>
        <v>0</v>
      </c>
      <c r="CG8" s="267">
        <f aca="true" t="shared" si="43" ref="CG8:CG23">IF(CB$5&gt;=CB$6,IF(CF8&gt;0,CB$8,IF(AND(CE8=0,CF7&lt;CB$8),CF7,CE8+CF7)),IF(CF8&gt;0,CB$9,IF(AND(CE8=0,CF7&lt;CB$9),CF7,CE8+CF7)))</f>
        <v>0</v>
      </c>
      <c r="CH8" s="267">
        <f aca="true" t="shared" si="44" ref="CH8:CH23">CG8*CB$16</f>
        <v>0</v>
      </c>
      <c r="CI8" s="267">
        <f aca="true" t="shared" si="45" ref="CI8:CI23">(CG8-CH8)*CB$7</f>
        <v>0</v>
      </c>
      <c r="CJ8" s="269">
        <f t="shared" si="25"/>
        <v>21.689524087764156</v>
      </c>
      <c r="CK8" s="269">
        <f aca="true" t="shared" si="46" ref="CK8:CK23">IF(CC8=0,"",IF(CC8&lt;AZ$31,0,IF(CC8&lt;AZ$35,CB$45*CB$46^(CC8-AZ$31),IF(CC8&lt;AZ$38,CB$48*CB$50^(CC8-AZ$35),CB$52*CB$54^(CC8-AZ$38)))))</f>
        <v>2.2691576611065236</v>
      </c>
      <c r="CL8" s="270">
        <f aca="true" t="shared" si="47" ref="CL8:CL23">CL7+1</f>
        <v>2000</v>
      </c>
      <c r="CM8" s="271">
        <f t="shared" si="26"/>
        <v>0</v>
      </c>
      <c r="CN8" s="271">
        <f aca="true" t="shared" si="48" ref="CN8:CN23">IF(CB$4&lt;AW$36,BF8*CB$18,IF(CB$4&lt;AW$38,BM8*CB$18,BT8*CB$18))</f>
        <v>32041.632656908234</v>
      </c>
      <c r="CO8" s="271">
        <f aca="true" t="shared" si="49" ref="CO8:CO23">IF(CB$12&lt;AW$36,(BG8*CB$20)+(BH8*CB$21)+(BI8*CB$22)+(BJ8*CB$23),IF(CB$12&lt;AW$38,(BN8*CB$20)+(BO8*CB$21)+(BP8*CB$22)+(BQ8*CB$23),(BU8*CB$20)+(BV8*CB$21)+(BW8*CB$22)+(BX8*CB$23)))</f>
        <v>0</v>
      </c>
      <c r="CP8" s="271">
        <f t="shared" si="27"/>
        <v>0</v>
      </c>
      <c r="CQ8" s="271">
        <f t="shared" si="28"/>
        <v>0</v>
      </c>
      <c r="CR8" s="271">
        <f t="shared" si="29"/>
        <v>0</v>
      </c>
      <c r="CS8" s="271">
        <f aca="true" t="shared" si="50" ref="CS8:CS23">CM8-CP8-CQ8-CR8</f>
        <v>0</v>
      </c>
      <c r="CT8" s="271">
        <f aca="true" t="shared" si="51" ref="CT8:CT23">IF(CS8&lt;=0,0,1)</f>
        <v>0</v>
      </c>
      <c r="CU8" s="272">
        <f aca="true" t="shared" si="52" ref="CU8:CU23">CU7+1</f>
        <v>2000</v>
      </c>
      <c r="CV8" s="273">
        <f t="shared" si="30"/>
        <v>0</v>
      </c>
      <c r="CW8" s="273">
        <f t="shared" si="31"/>
        <v>32041.632656908234</v>
      </c>
      <c r="CX8" s="273">
        <f t="shared" si="32"/>
        <v>0</v>
      </c>
      <c r="CY8" s="273">
        <f>IF(CT7=0,0,IF(CT8&gt;0,0,IF(AND(SUM(CT7:CT$7)&gt;0,SUM(CT8:CT$100)=0),CB$42,0)))</f>
        <v>0</v>
      </c>
      <c r="CZ8" s="273">
        <f>IF(CT7=0,0,IF(CT8&gt;0,0,IF(AND(SUM(CT$7:CT7)&gt;0,SUM(CT8:CT$100)=0),CB$41,0)))</f>
        <v>0</v>
      </c>
      <c r="DA8" s="273">
        <f>IF(SUM(CT$7:CT$100)=0,0,IF(SUM(CT8:CT$100)=0,CZ8-CY8,CM8-SUM(CN8:CR8)-CY8+CZ8))</f>
        <v>-32041.632656908234</v>
      </c>
      <c r="DB8" s="274">
        <f aca="true" t="shared" si="53" ref="DB8:DB23">DB7+1</f>
        <v>2000</v>
      </c>
      <c r="DC8" s="275">
        <f>DA8/((1+A$39)^($CC8-(1+YEAR(C$8))+(0.5+CB$55)))</f>
        <v>-31056.984907198126</v>
      </c>
      <c r="DD8" s="275">
        <f>DA8/((1+AW$8)^($CC8-(1+YEAR(C$8))+(0.5+CB$55)))</f>
        <v>-29631.864244559383</v>
      </c>
      <c r="DE8" s="275">
        <f>IF(CV8=0,CW8,CW8/2)/((1+AW$8)^(CC8-(1+YEAR(C$8))+(0.5+CB$55)))</f>
        <v>29631.864244559383</v>
      </c>
      <c r="DF8" s="275">
        <f>IF(DA8=0,0,CW8)/((1+AW$8)^(CC8-(1+YEAR(C$8))+(0.5+CB$55/2)))</f>
        <v>29885.958933785914</v>
      </c>
      <c r="DG8" s="360">
        <f>((CM8-CR8)/IF(C$6&lt;400,6,8))/((1+AW$8)^(CC8-(1+YEAR(C$8))+(0.5+CB$55)))</f>
        <v>0</v>
      </c>
      <c r="DH8" s="175" t="s">
        <v>166</v>
      </c>
      <c r="DI8" s="282">
        <f>CB16</f>
        <v>0.6950686811577479</v>
      </c>
      <c r="DJ8" s="365" t="s">
        <v>167</v>
      </c>
      <c r="DK8" s="366">
        <f>IF(SUM(DC7:DC100)&lt;0,0,1)</f>
        <v>1</v>
      </c>
      <c r="DL8" s="433" t="s">
        <v>168</v>
      </c>
      <c r="DM8" s="434"/>
      <c r="DN8" s="444">
        <v>0.98</v>
      </c>
    </row>
    <row r="9" spans="1:118" ht="15">
      <c r="A9" s="276"/>
      <c r="B9" s="392"/>
      <c r="C9" s="152"/>
      <c r="D9" s="277" t="s">
        <v>169</v>
      </c>
      <c r="E9" s="236">
        <v>3</v>
      </c>
      <c r="F9" s="238">
        <f t="shared" si="0"/>
        <v>3</v>
      </c>
      <c r="G9" s="452">
        <v>1</v>
      </c>
      <c r="H9" s="239">
        <f t="shared" si="1"/>
        <v>3</v>
      </c>
      <c r="I9" s="453">
        <v>3</v>
      </c>
      <c r="J9" s="240">
        <f t="shared" si="2"/>
        <v>3</v>
      </c>
      <c r="K9" s="451">
        <v>0.2479788321024291</v>
      </c>
      <c r="L9" s="241">
        <f t="shared" si="3"/>
        <v>3</v>
      </c>
      <c r="M9" s="454">
        <v>399.258865501184</v>
      </c>
      <c r="N9" s="242">
        <f t="shared" si="4"/>
        <v>3</v>
      </c>
      <c r="O9" s="454">
        <v>118.13450842389663</v>
      </c>
      <c r="P9" s="243">
        <f t="shared" si="5"/>
        <v>3</v>
      </c>
      <c r="Q9" s="454">
        <v>301.3778889176203</v>
      </c>
      <c r="R9" s="244">
        <f t="shared" si="6"/>
        <v>3</v>
      </c>
      <c r="S9" s="457">
        <v>39.31928034865673</v>
      </c>
      <c r="T9" s="245">
        <f t="shared" si="7"/>
        <v>3</v>
      </c>
      <c r="U9" s="455">
        <v>284.36116755102927</v>
      </c>
      <c r="V9" s="246">
        <f t="shared" si="8"/>
        <v>3</v>
      </c>
      <c r="W9" s="455">
        <v>463.91393673945726</v>
      </c>
      <c r="X9" s="247">
        <f t="shared" si="9"/>
        <v>3</v>
      </c>
      <c r="Y9" s="248">
        <f t="shared" si="10"/>
        <v>0</v>
      </c>
      <c r="Z9" s="249">
        <f t="shared" si="11"/>
        <v>0</v>
      </c>
      <c r="AA9" s="249">
        <f t="shared" si="12"/>
        <v>0</v>
      </c>
      <c r="AB9" s="250">
        <f t="shared" si="13"/>
        <v>0</v>
      </c>
      <c r="AC9" s="250">
        <f t="shared" si="14"/>
        <v>0</v>
      </c>
      <c r="AD9" s="250">
        <f aca="true" t="shared" si="54" ref="AD9:AD24">AC9*($O9/1000)</f>
        <v>0</v>
      </c>
      <c r="AE9" s="239">
        <f t="shared" si="15"/>
        <v>3</v>
      </c>
      <c r="AF9" s="251">
        <f t="shared" si="16"/>
        <v>2938.5396641234875</v>
      </c>
      <c r="AG9" s="251">
        <f t="shared" si="17"/>
        <v>835.6065697851643</v>
      </c>
      <c r="AH9" s="251">
        <f t="shared" si="33"/>
        <v>333.62333105776065</v>
      </c>
      <c r="AI9" s="251">
        <f t="shared" si="18"/>
        <v>8911.42204111475</v>
      </c>
      <c r="AJ9" s="251">
        <f t="shared" si="19"/>
        <v>4134.132881040313</v>
      </c>
      <c r="AK9" s="251">
        <f t="shared" si="34"/>
        <v>488.3837556607649</v>
      </c>
      <c r="AL9" s="245">
        <f t="shared" si="20"/>
        <v>3</v>
      </c>
      <c r="AM9" s="252">
        <f t="shared" si="35"/>
        <v>11849.961705238238</v>
      </c>
      <c r="AN9" s="252">
        <f t="shared" si="21"/>
        <v>1323.990325445929</v>
      </c>
      <c r="AO9" s="252">
        <f t="shared" si="22"/>
        <v>4467.756212098074</v>
      </c>
      <c r="AP9" s="252">
        <f t="shared" si="23"/>
        <v>2118.964740409999</v>
      </c>
      <c r="AQ9" s="252">
        <f t="shared" si="24"/>
        <v>2118.964740409999</v>
      </c>
      <c r="AR9" s="252">
        <f t="shared" si="36"/>
        <v>2118.964740409999</v>
      </c>
      <c r="AS9" s="397"/>
      <c r="AT9" s="193"/>
      <c r="AU9" s="285"/>
      <c r="AV9" s="364"/>
      <c r="AW9" s="37"/>
      <c r="AX9" s="37"/>
      <c r="AY9" s="412" t="s">
        <v>170</v>
      </c>
      <c r="AZ9" s="281">
        <v>2005</v>
      </c>
      <c r="BA9" s="396" t="s">
        <v>171</v>
      </c>
      <c r="BB9" s="168">
        <v>4960</v>
      </c>
      <c r="BC9" s="168">
        <v>6400</v>
      </c>
      <c r="BD9" s="168">
        <v>7561</v>
      </c>
      <c r="BE9" s="257">
        <f t="shared" si="37"/>
        <v>2001</v>
      </c>
      <c r="BF9" s="258">
        <f>68250*1.5</f>
        <v>102375</v>
      </c>
      <c r="BG9" s="259">
        <v>0</v>
      </c>
      <c r="BH9" s="260">
        <v>0</v>
      </c>
      <c r="BI9" s="261"/>
      <c r="BJ9" s="262"/>
      <c r="BK9" s="263"/>
      <c r="BL9" s="264">
        <f t="shared" si="38"/>
        <v>2001</v>
      </c>
      <c r="BM9" s="258">
        <f>72477*1.5</f>
        <v>108715.5</v>
      </c>
      <c r="BN9" s="259">
        <v>0</v>
      </c>
      <c r="BO9" s="260">
        <v>0</v>
      </c>
      <c r="BP9" s="261"/>
      <c r="BQ9" s="262"/>
      <c r="BR9" s="263"/>
      <c r="BS9" s="265">
        <f t="shared" si="39"/>
        <v>2001</v>
      </c>
      <c r="BT9" s="258">
        <f>76703*1.5</f>
        <v>115054.5</v>
      </c>
      <c r="BU9" s="259">
        <v>0</v>
      </c>
      <c r="BV9" s="260">
        <v>0</v>
      </c>
      <c r="BW9" s="261"/>
      <c r="BX9" s="262"/>
      <c r="BY9" s="263"/>
      <c r="BZ9" s="368" t="s">
        <v>172</v>
      </c>
      <c r="CA9" s="368" t="s">
        <v>173</v>
      </c>
      <c r="CB9" s="369">
        <f>(IF(CB$4&lt;AW$36,BB5/CB7,IF(CB$4&lt;AW$38,BC5/CB7,BD5/CB7)))/IF(CB5=0,1,CB5)</f>
        <v>3659.2362734349194</v>
      </c>
      <c r="CC9" s="266">
        <f t="shared" si="40"/>
        <v>2001</v>
      </c>
      <c r="CD9" s="267">
        <f>IF(CB$12&lt;AW$36,BK9,IF(CB$12&lt;AW$38,BR9,BY9))</f>
        <v>0</v>
      </c>
      <c r="CE9" s="267">
        <f t="shared" si="41"/>
        <v>0</v>
      </c>
      <c r="CF9" s="267">
        <f t="shared" si="42"/>
        <v>0</v>
      </c>
      <c r="CG9" s="267">
        <f t="shared" si="43"/>
        <v>0</v>
      </c>
      <c r="CH9" s="267">
        <f t="shared" si="44"/>
        <v>0</v>
      </c>
      <c r="CI9" s="267">
        <f t="shared" si="45"/>
        <v>0</v>
      </c>
      <c r="CJ9" s="269">
        <f t="shared" si="25"/>
        <v>21.12559646148229</v>
      </c>
      <c r="CK9" s="269">
        <f t="shared" si="46"/>
        <v>2.323351935349177</v>
      </c>
      <c r="CL9" s="270">
        <f t="shared" si="47"/>
        <v>2001</v>
      </c>
      <c r="CM9" s="271">
        <f t="shared" si="26"/>
        <v>0</v>
      </c>
      <c r="CN9" s="271">
        <f t="shared" si="48"/>
        <v>110584.829051178</v>
      </c>
      <c r="CO9" s="271">
        <f t="shared" si="49"/>
        <v>0</v>
      </c>
      <c r="CP9" s="271">
        <f t="shared" si="27"/>
        <v>0</v>
      </c>
      <c r="CQ9" s="271">
        <f t="shared" si="28"/>
        <v>0</v>
      </c>
      <c r="CR9" s="271">
        <f t="shared" si="29"/>
        <v>0</v>
      </c>
      <c r="CS9" s="271">
        <f t="shared" si="50"/>
        <v>0</v>
      </c>
      <c r="CT9" s="271">
        <f t="shared" si="51"/>
        <v>0</v>
      </c>
      <c r="CU9" s="272">
        <f t="shared" si="52"/>
        <v>2001</v>
      </c>
      <c r="CV9" s="273">
        <f t="shared" si="30"/>
        <v>0</v>
      </c>
      <c r="CW9" s="273">
        <f t="shared" si="31"/>
        <v>110584.829051178</v>
      </c>
      <c r="CX9" s="273">
        <f t="shared" si="32"/>
        <v>0</v>
      </c>
      <c r="CY9" s="273">
        <f>IF(CT8=0,0,IF(CT9&gt;0,0,IF(AND(SUM(CT$7:CT8)&gt;0,SUM(CT9:CT$100)=0),CB$42,0)))</f>
        <v>0</v>
      </c>
      <c r="CZ9" s="273">
        <f>IF(CT8=0,0,IF(CT9&gt;0,0,IF(AND(SUM(CT$7:CT8)&gt;0,SUM(CT9:CT$100)=0),CB$41,0)))</f>
        <v>0</v>
      </c>
      <c r="DA9" s="273">
        <f>IF(SUM(CT$7:CT$100)=0,0,IF(SUM(CT9:CT$100)=0,CZ9-CY9,CM9-SUM(CN9:CR9)-CY9+CZ9))</f>
        <v>-110584.829051178</v>
      </c>
      <c r="DB9" s="274">
        <f t="shared" si="53"/>
        <v>2001</v>
      </c>
      <c r="DC9" s="275">
        <f aca="true" t="shared" si="55" ref="DC9:DC72">DA9/((1+A$39)^($CC9-(1+YEAR(C$8))+(0.5+CB$55)))</f>
        <v>-102082.4079419047</v>
      </c>
      <c r="DD9" s="275">
        <f aca="true" t="shared" si="56" ref="DD9:DD72">DA9/((1+AW$8)^($CC9-(1+YEAR(C$8))+(0.5+CB$55)))</f>
        <v>-90502.68119902782</v>
      </c>
      <c r="DE9" s="275">
        <f aca="true" t="shared" si="57" ref="DE9:DE72">IF(CV9=0,CW9,CW9/2)/((1+AW$8)^(CC9-(1+YEAR(C$8))+(0.5+CB$55)))</f>
        <v>90502.68119902782</v>
      </c>
      <c r="DF9" s="275">
        <f aca="true" t="shared" si="58" ref="DF9:DF72">IF(DA9=0,0,CW9)/((1+AW$8)^(CC9-(1+YEAR(C$8))+(0.5+CB$55/2)))</f>
        <v>91278.74612911935</v>
      </c>
      <c r="DG9" s="360">
        <f aca="true" t="shared" si="59" ref="DG9:DG72">((CM9-CR9)/IF(C$6&lt;400,6,8))/((1+AW$8)^(CC9-(1+YEAR(C$8))+(0.5+CB$55)))</f>
        <v>0</v>
      </c>
      <c r="DH9" s="175"/>
      <c r="DI9" s="205"/>
      <c r="DJ9" s="365"/>
      <c r="DK9" s="365"/>
      <c r="DL9" s="432" t="s">
        <v>174</v>
      </c>
      <c r="DM9" s="445">
        <v>0.399</v>
      </c>
      <c r="DN9" s="436">
        <f>1-((1-DN7)+(1-DN8))</f>
        <v>0.882</v>
      </c>
    </row>
    <row r="10" spans="1:118" ht="15">
      <c r="A10" s="276" t="s">
        <v>175</v>
      </c>
      <c r="B10" s="391" t="s">
        <v>176</v>
      </c>
      <c r="C10" s="152" t="s">
        <v>177</v>
      </c>
      <c r="D10" s="277" t="s">
        <v>178</v>
      </c>
      <c r="E10" s="236">
        <v>4</v>
      </c>
      <c r="F10" s="238">
        <f t="shared" si="0"/>
        <v>4</v>
      </c>
      <c r="G10" s="452">
        <v>0</v>
      </c>
      <c r="H10" s="239">
        <f t="shared" si="1"/>
        <v>4</v>
      </c>
      <c r="I10" s="453">
        <v>2</v>
      </c>
      <c r="J10" s="240">
        <f t="shared" si="2"/>
        <v>4</v>
      </c>
      <c r="K10" s="451">
        <v>0.30821677869396014</v>
      </c>
      <c r="L10" s="241">
        <f t="shared" si="3"/>
        <v>4</v>
      </c>
      <c r="M10" s="454">
        <v>2337.2153012624062</v>
      </c>
      <c r="N10" s="242">
        <f t="shared" si="4"/>
        <v>4</v>
      </c>
      <c r="O10" s="454">
        <v>78.50376344036101</v>
      </c>
      <c r="P10" s="243">
        <f t="shared" si="5"/>
        <v>4</v>
      </c>
      <c r="Q10" s="454">
        <v>105.21356730301753</v>
      </c>
      <c r="R10" s="244">
        <f t="shared" si="6"/>
        <v>4</v>
      </c>
      <c r="S10" s="457">
        <v>109.53601039839852</v>
      </c>
      <c r="T10" s="245">
        <f t="shared" si="7"/>
        <v>4</v>
      </c>
      <c r="U10" s="455">
        <v>215.7100824052832</v>
      </c>
      <c r="V10" s="246">
        <f t="shared" si="8"/>
        <v>4</v>
      </c>
      <c r="W10" s="455">
        <v>786.0842586650896</v>
      </c>
      <c r="X10" s="247">
        <f t="shared" si="9"/>
        <v>4</v>
      </c>
      <c r="Y10" s="248">
        <f t="shared" si="10"/>
        <v>0</v>
      </c>
      <c r="Z10" s="249">
        <f t="shared" si="11"/>
        <v>0</v>
      </c>
      <c r="AA10" s="249">
        <f t="shared" si="12"/>
        <v>0</v>
      </c>
      <c r="AB10" s="250">
        <f t="shared" si="13"/>
        <v>0</v>
      </c>
      <c r="AC10" s="250">
        <f t="shared" si="14"/>
        <v>0</v>
      </c>
      <c r="AD10" s="250">
        <f t="shared" si="54"/>
        <v>0</v>
      </c>
      <c r="AE10" s="239">
        <f t="shared" si="15"/>
        <v>4</v>
      </c>
      <c r="AF10" s="251">
        <f t="shared" si="16"/>
        <v>0</v>
      </c>
      <c r="AG10" s="251">
        <f t="shared" si="17"/>
        <v>0</v>
      </c>
      <c r="AH10" s="251">
        <f t="shared" si="33"/>
        <v>0</v>
      </c>
      <c r="AI10" s="251">
        <f t="shared" si="18"/>
        <v>0</v>
      </c>
      <c r="AJ10" s="251">
        <f t="shared" si="19"/>
        <v>0</v>
      </c>
      <c r="AK10" s="251">
        <f t="shared" si="34"/>
        <v>0</v>
      </c>
      <c r="AL10" s="245">
        <f t="shared" si="20"/>
        <v>4</v>
      </c>
      <c r="AM10" s="252">
        <f t="shared" si="35"/>
        <v>0</v>
      </c>
      <c r="AN10" s="252">
        <f t="shared" si="21"/>
        <v>0</v>
      </c>
      <c r="AO10" s="252">
        <f t="shared" si="22"/>
        <v>0</v>
      </c>
      <c r="AP10" s="252">
        <f t="shared" si="23"/>
        <v>0</v>
      </c>
      <c r="AQ10" s="252">
        <f t="shared" si="24"/>
        <v>2323.1809359894496</v>
      </c>
      <c r="AR10" s="252">
        <f t="shared" si="36"/>
        <v>0</v>
      </c>
      <c r="AS10" s="396" t="s">
        <v>179</v>
      </c>
      <c r="AT10" s="286">
        <f>IF(IF(SUM(Z7:Z100)&gt;0,1,0)+IF(SUM(AC7:AC100)&gt;0,1,0)+IF(SUM(AG7:AG100)&gt;0,1,0)=0,1,0)</f>
        <v>0</v>
      </c>
      <c r="AU10" s="287"/>
      <c r="AV10" s="401" t="s">
        <v>180</v>
      </c>
      <c r="AW10" s="296">
        <v>55000</v>
      </c>
      <c r="AX10" s="37"/>
      <c r="AY10" s="412" t="s">
        <v>181</v>
      </c>
      <c r="AZ10" s="463">
        <v>0.018</v>
      </c>
      <c r="BA10" s="396" t="s">
        <v>182</v>
      </c>
      <c r="BB10" s="290">
        <v>0.6</v>
      </c>
      <c r="BC10" s="290">
        <v>0.5</v>
      </c>
      <c r="BD10" s="290">
        <v>0.4</v>
      </c>
      <c r="BE10" s="257">
        <f t="shared" si="37"/>
        <v>2002</v>
      </c>
      <c r="BF10" s="258">
        <f>68250*1.5</f>
        <v>102375</v>
      </c>
      <c r="BG10" s="259">
        <v>8</v>
      </c>
      <c r="BH10" s="260">
        <v>0</v>
      </c>
      <c r="BI10" s="261"/>
      <c r="BJ10" s="262"/>
      <c r="BK10" s="263"/>
      <c r="BL10" s="264">
        <f t="shared" si="38"/>
        <v>2002</v>
      </c>
      <c r="BM10" s="258">
        <f>72477*1.5</f>
        <v>108715.5</v>
      </c>
      <c r="BN10" s="259">
        <v>10</v>
      </c>
      <c r="BO10" s="260">
        <v>0</v>
      </c>
      <c r="BP10" s="261"/>
      <c r="BQ10" s="262"/>
      <c r="BR10" s="263"/>
      <c r="BS10" s="265">
        <f t="shared" si="39"/>
        <v>2002</v>
      </c>
      <c r="BT10" s="258">
        <f>76703*1.5</f>
        <v>115054.5</v>
      </c>
      <c r="BU10" s="259">
        <v>12</v>
      </c>
      <c r="BV10" s="260">
        <v>0</v>
      </c>
      <c r="BW10" s="261"/>
      <c r="BX10" s="262"/>
      <c r="BY10" s="263"/>
      <c r="BZ10" s="368" t="s">
        <v>183</v>
      </c>
      <c r="CA10" s="368" t="s">
        <v>98</v>
      </c>
      <c r="CB10" s="373">
        <f>(AW22*CB4)/(2*AW20)</f>
        <v>9687.97131954251</v>
      </c>
      <c r="CC10" s="266">
        <f t="shared" si="40"/>
        <v>2002</v>
      </c>
      <c r="CD10" s="267">
        <f>IF(CB$12&lt;AW$36,BK10,IF(CB$12&lt;AW$38,BR10,BY10))</f>
        <v>0</v>
      </c>
      <c r="CE10" s="267">
        <f t="shared" si="41"/>
        <v>0</v>
      </c>
      <c r="CF10" s="267">
        <f t="shared" si="42"/>
        <v>0</v>
      </c>
      <c r="CG10" s="267">
        <f t="shared" si="43"/>
        <v>0</v>
      </c>
      <c r="CH10" s="267">
        <f t="shared" si="44"/>
        <v>0</v>
      </c>
      <c r="CI10" s="267">
        <f t="shared" si="45"/>
        <v>0</v>
      </c>
      <c r="CJ10" s="269">
        <f t="shared" si="25"/>
        <v>20.576330953483748</v>
      </c>
      <c r="CK10" s="269">
        <f t="shared" si="46"/>
        <v>2.3788405310094327</v>
      </c>
      <c r="CL10" s="270">
        <f t="shared" si="47"/>
        <v>2002</v>
      </c>
      <c r="CM10" s="271">
        <f t="shared" si="26"/>
        <v>0</v>
      </c>
      <c r="CN10" s="271">
        <f t="shared" si="48"/>
        <v>110584.829051178</v>
      </c>
      <c r="CO10" s="271">
        <f t="shared" si="49"/>
        <v>95890.9927910523</v>
      </c>
      <c r="CP10" s="271">
        <f t="shared" si="27"/>
        <v>0</v>
      </c>
      <c r="CQ10" s="271">
        <f t="shared" si="28"/>
        <v>0</v>
      </c>
      <c r="CR10" s="271">
        <f t="shared" si="29"/>
        <v>0</v>
      </c>
      <c r="CS10" s="271">
        <f t="shared" si="50"/>
        <v>0</v>
      </c>
      <c r="CT10" s="271">
        <f t="shared" si="51"/>
        <v>0</v>
      </c>
      <c r="CU10" s="272">
        <f t="shared" si="52"/>
        <v>2002</v>
      </c>
      <c r="CV10" s="273">
        <f t="shared" si="30"/>
        <v>0</v>
      </c>
      <c r="CW10" s="273">
        <f t="shared" si="31"/>
        <v>206475.8218422303</v>
      </c>
      <c r="CX10" s="273">
        <f t="shared" si="32"/>
        <v>0</v>
      </c>
      <c r="CY10" s="273">
        <f>IF(CT9=0,0,IF(CT10&gt;0,0,IF(AND(SUM(CT$7:CT9)&gt;0,SUM(CT10:CT$100)=0),CB$42,0)))</f>
        <v>0</v>
      </c>
      <c r="CZ10" s="273">
        <f>IF(CT9=0,0,IF(CT10&gt;0,0,IF(AND(SUM(CT$7:CT9)&gt;0,SUM(CT10:CT$100)=0),CB$41,0)))</f>
        <v>0</v>
      </c>
      <c r="DA10" s="273">
        <f>IF(SUM(CT$7:CT$100)=0,0,IF(SUM(CT10:CT$100)=0,CZ10-CY10,CM10-SUM(CN10:CR10)-CY10+CZ10))</f>
        <v>-206475.8218422303</v>
      </c>
      <c r="DB10" s="274">
        <f t="shared" si="53"/>
        <v>2002</v>
      </c>
      <c r="DC10" s="275">
        <f t="shared" si="55"/>
        <v>-181524.50417075207</v>
      </c>
      <c r="DD10" s="275">
        <f t="shared" si="56"/>
        <v>-149539.75151787512</v>
      </c>
      <c r="DE10" s="275">
        <f t="shared" si="57"/>
        <v>149539.75151787512</v>
      </c>
      <c r="DF10" s="275">
        <f t="shared" si="58"/>
        <v>150822.06222149293</v>
      </c>
      <c r="DG10" s="360">
        <f t="shared" si="59"/>
        <v>0</v>
      </c>
      <c r="DH10" s="175" t="s">
        <v>184</v>
      </c>
      <c r="DI10" s="282">
        <f>CB17</f>
        <v>0.034329189453665254</v>
      </c>
      <c r="DJ10" s="365" t="s">
        <v>185</v>
      </c>
      <c r="DK10" s="367">
        <f>IF(SUM(DA7:DA100)=0,0,1)</f>
        <v>1</v>
      </c>
      <c r="DL10" s="283" t="s">
        <v>186</v>
      </c>
      <c r="DM10" s="284" t="str">
        <f>IF(DM9&lt;DN7/3,"Fails, Must Be &gt; 1/3 -&gt;","Passes")</f>
        <v>Passes</v>
      </c>
      <c r="DN10" s="435" t="str">
        <f>IF(DN9&lt;0.9,"Fails, Must Be &gt; 0.900","Passes")</f>
        <v>Fails, Must Be &gt; 0.900</v>
      </c>
    </row>
    <row r="11" spans="1:118" ht="15">
      <c r="A11" s="276" t="s">
        <v>187</v>
      </c>
      <c r="B11" s="392"/>
      <c r="C11" s="152"/>
      <c r="D11" s="277" t="s">
        <v>188</v>
      </c>
      <c r="E11" s="236">
        <v>5</v>
      </c>
      <c r="F11" s="238">
        <f t="shared" si="0"/>
        <v>5</v>
      </c>
      <c r="G11" s="452">
        <v>1</v>
      </c>
      <c r="H11" s="239">
        <f t="shared" si="1"/>
        <v>5</v>
      </c>
      <c r="I11" s="453">
        <v>1</v>
      </c>
      <c r="J11" s="240">
        <f t="shared" si="2"/>
        <v>5</v>
      </c>
      <c r="K11" s="451">
        <v>0.46741816152516236</v>
      </c>
      <c r="L11" s="241">
        <f t="shared" si="3"/>
        <v>5</v>
      </c>
      <c r="M11" s="454">
        <v>1795.9105266816114</v>
      </c>
      <c r="N11" s="242">
        <f t="shared" si="4"/>
        <v>5</v>
      </c>
      <c r="O11" s="454">
        <v>87.93286627097633</v>
      </c>
      <c r="P11" s="243">
        <f t="shared" si="5"/>
        <v>5</v>
      </c>
      <c r="Q11" s="454">
        <v>228.51739959951144</v>
      </c>
      <c r="R11" s="244">
        <f t="shared" si="6"/>
        <v>5</v>
      </c>
      <c r="S11" s="457">
        <v>53.81344198603377</v>
      </c>
      <c r="T11" s="245">
        <f t="shared" si="7"/>
        <v>5</v>
      </c>
      <c r="U11" s="455">
        <v>365.20321816658134</v>
      </c>
      <c r="V11" s="246">
        <f t="shared" si="8"/>
        <v>5</v>
      </c>
      <c r="W11" s="455">
        <v>580.7187405522452</v>
      </c>
      <c r="X11" s="247">
        <f t="shared" si="9"/>
        <v>5</v>
      </c>
      <c r="Y11" s="248">
        <f t="shared" si="10"/>
        <v>12297.307826147606</v>
      </c>
      <c r="Z11" s="249">
        <f t="shared" si="11"/>
        <v>4491.016392894192</v>
      </c>
      <c r="AA11" s="249">
        <f t="shared" si="12"/>
        <v>8065.463615498359</v>
      </c>
      <c r="AB11" s="250">
        <f t="shared" si="13"/>
        <v>0</v>
      </c>
      <c r="AC11" s="250">
        <f t="shared" si="14"/>
        <v>0</v>
      </c>
      <c r="AD11" s="250">
        <f t="shared" si="54"/>
        <v>0</v>
      </c>
      <c r="AE11" s="239">
        <f t="shared" si="15"/>
        <v>5</v>
      </c>
      <c r="AF11" s="251">
        <f t="shared" si="16"/>
        <v>0</v>
      </c>
      <c r="AG11" s="251">
        <f t="shared" si="17"/>
        <v>0</v>
      </c>
      <c r="AH11" s="251">
        <f t="shared" si="33"/>
        <v>0</v>
      </c>
      <c r="AI11" s="251">
        <f t="shared" si="18"/>
        <v>0</v>
      </c>
      <c r="AJ11" s="251">
        <f t="shared" si="19"/>
        <v>0</v>
      </c>
      <c r="AK11" s="251">
        <f t="shared" si="34"/>
        <v>0</v>
      </c>
      <c r="AL11" s="245">
        <f t="shared" si="20"/>
        <v>5</v>
      </c>
      <c r="AM11" s="252">
        <f t="shared" si="35"/>
        <v>12297.307826147606</v>
      </c>
      <c r="AN11" s="252">
        <f t="shared" si="21"/>
        <v>4491.016392894192</v>
      </c>
      <c r="AO11" s="252">
        <f t="shared" si="22"/>
        <v>8065.463615498359</v>
      </c>
      <c r="AP11" s="252">
        <f t="shared" si="23"/>
        <v>5926.152267538028</v>
      </c>
      <c r="AQ11" s="252">
        <f t="shared" si="24"/>
        <v>5926.152267538028</v>
      </c>
      <c r="AR11" s="252">
        <f t="shared" si="36"/>
        <v>5926.152267538028</v>
      </c>
      <c r="AS11" s="397"/>
      <c r="AT11" s="193"/>
      <c r="AU11" s="254"/>
      <c r="AV11" s="358"/>
      <c r="AW11" s="358"/>
      <c r="AX11" s="37"/>
      <c r="AY11" s="414"/>
      <c r="AZ11" s="289"/>
      <c r="BA11" s="416"/>
      <c r="BB11" s="223"/>
      <c r="BC11" s="223"/>
      <c r="BD11" s="223"/>
      <c r="BE11" s="257">
        <f t="shared" si="37"/>
        <v>2003</v>
      </c>
      <c r="BF11" s="258">
        <f>68250*1.5</f>
        <v>102375</v>
      </c>
      <c r="BG11" s="259">
        <v>0</v>
      </c>
      <c r="BH11" s="260">
        <v>8</v>
      </c>
      <c r="BI11" s="261"/>
      <c r="BJ11" s="262"/>
      <c r="BK11" s="263">
        <v>4860</v>
      </c>
      <c r="BL11" s="264">
        <f t="shared" si="38"/>
        <v>2003</v>
      </c>
      <c r="BM11" s="258">
        <f>72477*1.5</f>
        <v>108715.5</v>
      </c>
      <c r="BN11" s="259">
        <v>0</v>
      </c>
      <c r="BO11" s="260">
        <v>10</v>
      </c>
      <c r="BP11" s="261"/>
      <c r="BQ11" s="262"/>
      <c r="BR11" s="263">
        <v>6374</v>
      </c>
      <c r="BS11" s="265">
        <f t="shared" si="39"/>
        <v>2003</v>
      </c>
      <c r="BT11" s="258">
        <f>76703*1.5</f>
        <v>115054.5</v>
      </c>
      <c r="BU11" s="259">
        <v>0</v>
      </c>
      <c r="BV11" s="260">
        <v>12</v>
      </c>
      <c r="BW11" s="261"/>
      <c r="BX11" s="262"/>
      <c r="BY11" s="263">
        <v>7684</v>
      </c>
      <c r="BZ11" s="368" t="s">
        <v>189</v>
      </c>
      <c r="CA11" s="368" t="s">
        <v>98</v>
      </c>
      <c r="CB11" s="465">
        <v>74036.7173948522</v>
      </c>
      <c r="CC11" s="266">
        <f t="shared" si="40"/>
        <v>2003</v>
      </c>
      <c r="CD11" s="267">
        <f>IF(CB$12&lt;AW$36,BK11,IF(CB$12&lt;AW$38,BR11,BY11))</f>
        <v>7684</v>
      </c>
      <c r="CE11" s="267">
        <f t="shared" si="41"/>
        <v>4464.397209935214</v>
      </c>
      <c r="CF11" s="267">
        <f t="shared" si="42"/>
        <v>0</v>
      </c>
      <c r="CG11" s="267">
        <f t="shared" si="43"/>
        <v>4464.397209935214</v>
      </c>
      <c r="CH11" s="267">
        <f t="shared" si="44"/>
        <v>3103.0626808739985</v>
      </c>
      <c r="CI11" s="267">
        <f t="shared" si="45"/>
        <v>7650.700053324032</v>
      </c>
      <c r="CJ11" s="269">
        <f t="shared" si="25"/>
        <v>20.04134634869317</v>
      </c>
      <c r="CK11" s="269">
        <f t="shared" si="46"/>
        <v>2.43565436035534</v>
      </c>
      <c r="CL11" s="270">
        <f t="shared" si="47"/>
        <v>2003</v>
      </c>
      <c r="CM11" s="271">
        <f t="shared" si="26"/>
        <v>80824.01487374966</v>
      </c>
      <c r="CN11" s="271">
        <f t="shared" si="48"/>
        <v>110584.829051178</v>
      </c>
      <c r="CO11" s="271">
        <f t="shared" si="49"/>
        <v>54405.44681664414</v>
      </c>
      <c r="CP11" s="271">
        <f t="shared" si="27"/>
        <v>6400</v>
      </c>
      <c r="CQ11" s="271">
        <f t="shared" si="28"/>
        <v>2232.198604967607</v>
      </c>
      <c r="CR11" s="271">
        <f t="shared" si="29"/>
        <v>4051.5845862186006</v>
      </c>
      <c r="CS11" s="271">
        <f t="shared" si="50"/>
        <v>68140.23168256346</v>
      </c>
      <c r="CT11" s="271">
        <f t="shared" si="51"/>
        <v>1</v>
      </c>
      <c r="CU11" s="272">
        <f t="shared" si="52"/>
        <v>2003</v>
      </c>
      <c r="CV11" s="273">
        <f t="shared" si="30"/>
        <v>4464.397209935214</v>
      </c>
      <c r="CW11" s="273">
        <f t="shared" si="31"/>
        <v>164990.27586782214</v>
      </c>
      <c r="CX11" s="273">
        <f t="shared" si="32"/>
        <v>12683.783191186209</v>
      </c>
      <c r="CY11" s="273">
        <f>IF(CT10=0,0,IF(CT11&gt;0,0,IF(AND(SUM(CT$7:CT10)&gt;0,SUM(CT11:CT$100)=0),CB$42,0)))</f>
        <v>0</v>
      </c>
      <c r="CZ11" s="273">
        <f>IF(CT10=0,0,IF(CT11&gt;0,0,IF(AND(SUM(CT$7:CT10)&gt;0,SUM(CT11:CT$100)=0),CB$41,0)))</f>
        <v>0</v>
      </c>
      <c r="DA11" s="273">
        <f>IF(SUM(CT$7:CT$100)=0,0,IF(SUM(CT11:CT$100)=0,CZ11-CY11,CM11-SUM(CN11:CR11)-CY11+CZ11))</f>
        <v>-96850.04418525871</v>
      </c>
      <c r="DB11" s="274">
        <f t="shared" si="53"/>
        <v>2003</v>
      </c>
      <c r="DC11" s="275">
        <f t="shared" si="55"/>
        <v>-81091.732645154</v>
      </c>
      <c r="DD11" s="275">
        <f t="shared" si="56"/>
        <v>-62073.87122908793</v>
      </c>
      <c r="DE11" s="275">
        <f t="shared" si="57"/>
        <v>52873.41489839883</v>
      </c>
      <c r="DF11" s="275">
        <f t="shared" si="58"/>
        <v>106653.61404878215</v>
      </c>
      <c r="DG11" s="360">
        <f t="shared" si="59"/>
        <v>6150.69666681898</v>
      </c>
      <c r="DH11" s="175"/>
      <c r="DI11" s="205"/>
      <c r="DJ11" s="364"/>
      <c r="DK11" s="364"/>
      <c r="DL11" s="358"/>
      <c r="DM11" s="431"/>
      <c r="DN11" s="429"/>
    </row>
    <row r="12" spans="1:118" ht="15">
      <c r="A12" s="385">
        <v>36474</v>
      </c>
      <c r="B12" s="391" t="s">
        <v>190</v>
      </c>
      <c r="C12" s="152" t="s">
        <v>191</v>
      </c>
      <c r="D12" s="277" t="s">
        <v>192</v>
      </c>
      <c r="E12" s="236">
        <v>6</v>
      </c>
      <c r="F12" s="238">
        <f t="shared" si="0"/>
        <v>6</v>
      </c>
      <c r="G12" s="452">
        <v>0</v>
      </c>
      <c r="H12" s="239">
        <f t="shared" si="1"/>
        <v>6</v>
      </c>
      <c r="I12" s="453">
        <v>2</v>
      </c>
      <c r="J12" s="240">
        <f t="shared" si="2"/>
        <v>6</v>
      </c>
      <c r="K12" s="451">
        <v>0.3675898282993246</v>
      </c>
      <c r="L12" s="241">
        <f t="shared" si="3"/>
        <v>6</v>
      </c>
      <c r="M12" s="454">
        <v>1256.5388621909315</v>
      </c>
      <c r="N12" s="242">
        <f t="shared" si="4"/>
        <v>6</v>
      </c>
      <c r="O12" s="454">
        <v>37.74561380080234</v>
      </c>
      <c r="P12" s="243">
        <f t="shared" si="5"/>
        <v>6</v>
      </c>
      <c r="Q12" s="454">
        <v>272.8236223509181</v>
      </c>
      <c r="R12" s="244">
        <f t="shared" si="6"/>
        <v>6</v>
      </c>
      <c r="S12" s="457">
        <v>9.321556439655204</v>
      </c>
      <c r="T12" s="245">
        <f t="shared" si="7"/>
        <v>6</v>
      </c>
      <c r="U12" s="455">
        <v>376.1417109059117</v>
      </c>
      <c r="V12" s="246">
        <f t="shared" si="8"/>
        <v>6</v>
      </c>
      <c r="W12" s="455">
        <v>216.06136142766803</v>
      </c>
      <c r="X12" s="247">
        <f t="shared" si="9"/>
        <v>6</v>
      </c>
      <c r="Y12" s="248">
        <f t="shared" si="10"/>
        <v>0</v>
      </c>
      <c r="Z12" s="249">
        <f t="shared" si="11"/>
        <v>0</v>
      </c>
      <c r="AA12" s="249">
        <f t="shared" si="12"/>
        <v>0</v>
      </c>
      <c r="AB12" s="250">
        <f t="shared" si="13"/>
        <v>0</v>
      </c>
      <c r="AC12" s="250">
        <f t="shared" si="14"/>
        <v>0</v>
      </c>
      <c r="AD12" s="250">
        <f t="shared" si="54"/>
        <v>0</v>
      </c>
      <c r="AE12" s="239">
        <f t="shared" si="15"/>
        <v>6</v>
      </c>
      <c r="AF12" s="251">
        <f t="shared" si="16"/>
        <v>0</v>
      </c>
      <c r="AG12" s="251">
        <f t="shared" si="17"/>
        <v>0</v>
      </c>
      <c r="AH12" s="251">
        <f t="shared" si="33"/>
        <v>0</v>
      </c>
      <c r="AI12" s="251">
        <f t="shared" si="18"/>
        <v>0</v>
      </c>
      <c r="AJ12" s="251">
        <f t="shared" si="19"/>
        <v>0</v>
      </c>
      <c r="AK12" s="251">
        <f t="shared" si="34"/>
        <v>0</v>
      </c>
      <c r="AL12" s="245">
        <f t="shared" si="20"/>
        <v>6</v>
      </c>
      <c r="AM12" s="252">
        <f t="shared" si="35"/>
        <v>0</v>
      </c>
      <c r="AN12" s="252">
        <f t="shared" si="21"/>
        <v>0</v>
      </c>
      <c r="AO12" s="252">
        <f t="shared" si="22"/>
        <v>0</v>
      </c>
      <c r="AP12" s="252">
        <f t="shared" si="23"/>
        <v>0</v>
      </c>
      <c r="AQ12" s="252">
        <f t="shared" si="24"/>
        <v>118.51150746583392</v>
      </c>
      <c r="AR12" s="252">
        <f t="shared" si="36"/>
        <v>0</v>
      </c>
      <c r="AS12" s="396" t="s">
        <v>193</v>
      </c>
      <c r="AT12" s="293">
        <f>SUM(Z7:Z100)</f>
        <v>37973.0422550788</v>
      </c>
      <c r="AU12" s="294"/>
      <c r="AV12" s="358"/>
      <c r="AW12" s="358"/>
      <c r="AX12" s="37"/>
      <c r="AY12" s="412" t="s">
        <v>194</v>
      </c>
      <c r="AZ12" s="281">
        <v>2011</v>
      </c>
      <c r="BA12" s="396" t="s">
        <v>195</v>
      </c>
      <c r="BB12" s="168">
        <v>33998.73527349712</v>
      </c>
      <c r="BC12" s="168">
        <v>35999.76591220113</v>
      </c>
      <c r="BD12" s="168">
        <v>37999.993588938494</v>
      </c>
      <c r="BE12" s="257">
        <f t="shared" si="37"/>
        <v>2004</v>
      </c>
      <c r="BF12" s="258">
        <v>0</v>
      </c>
      <c r="BG12" s="259"/>
      <c r="BH12" s="260"/>
      <c r="BI12" s="261">
        <v>7</v>
      </c>
      <c r="BJ12" s="262"/>
      <c r="BK12" s="263">
        <v>8991</v>
      </c>
      <c r="BL12" s="264">
        <f t="shared" si="38"/>
        <v>2004</v>
      </c>
      <c r="BM12" s="258">
        <v>0</v>
      </c>
      <c r="BN12" s="259"/>
      <c r="BO12" s="260"/>
      <c r="BP12" s="261">
        <v>10</v>
      </c>
      <c r="BQ12" s="262"/>
      <c r="BR12" s="263">
        <v>12397</v>
      </c>
      <c r="BS12" s="265">
        <f t="shared" si="39"/>
        <v>2004</v>
      </c>
      <c r="BT12" s="258">
        <v>0</v>
      </c>
      <c r="BU12" s="259"/>
      <c r="BV12" s="260"/>
      <c r="BW12" s="261">
        <v>11</v>
      </c>
      <c r="BX12" s="262"/>
      <c r="BY12" s="263">
        <v>14946</v>
      </c>
      <c r="BZ12" s="368" t="s">
        <v>65</v>
      </c>
      <c r="CA12" s="368" t="s">
        <v>98</v>
      </c>
      <c r="CB12" s="369">
        <f>IF(CB4=0,0,CB11)</f>
        <v>74036.7173948522</v>
      </c>
      <c r="CC12" s="266">
        <f t="shared" si="40"/>
        <v>2004</v>
      </c>
      <c r="CD12" s="267">
        <f aca="true" t="shared" si="60" ref="CD12:CD27">IF(CB$12&lt;AW$36,BK12,IF(CB$12&lt;AW$38,BR12,BY12))</f>
        <v>14946</v>
      </c>
      <c r="CE12" s="267">
        <f t="shared" si="41"/>
        <v>8683.612792776119</v>
      </c>
      <c r="CF12" s="267">
        <f t="shared" si="42"/>
        <v>0</v>
      </c>
      <c r="CG12" s="267">
        <f t="shared" si="43"/>
        <v>8683.612792776119</v>
      </c>
      <c r="CH12" s="267">
        <f t="shared" si="44"/>
        <v>6035.707291559445</v>
      </c>
      <c r="CI12" s="267">
        <f t="shared" si="45"/>
        <v>14881.228916837706</v>
      </c>
      <c r="CJ12" s="269">
        <f t="shared" si="25"/>
        <v>19.520271343627147</v>
      </c>
      <c r="CK12" s="269">
        <f t="shared" si="46"/>
        <v>2.493825073932397</v>
      </c>
      <c r="CL12" s="270">
        <f t="shared" si="47"/>
        <v>2004</v>
      </c>
      <c r="CM12" s="271">
        <f t="shared" si="26"/>
        <v>154929.825885687</v>
      </c>
      <c r="CN12" s="271">
        <f t="shared" si="48"/>
        <v>0</v>
      </c>
      <c r="CO12" s="271">
        <f t="shared" si="49"/>
        <v>70987.38483227359</v>
      </c>
      <c r="CP12" s="271">
        <f t="shared" si="27"/>
        <v>6400</v>
      </c>
      <c r="CQ12" s="271">
        <f t="shared" si="28"/>
        <v>4341.8063963880595</v>
      </c>
      <c r="CR12" s="271">
        <f t="shared" si="29"/>
        <v>7880.65893097647</v>
      </c>
      <c r="CS12" s="271">
        <f t="shared" si="50"/>
        <v>136307.36055832246</v>
      </c>
      <c r="CT12" s="271">
        <f t="shared" si="51"/>
        <v>1</v>
      </c>
      <c r="CU12" s="272">
        <f t="shared" si="52"/>
        <v>2004</v>
      </c>
      <c r="CV12" s="273">
        <f t="shared" si="30"/>
        <v>8683.612792776119</v>
      </c>
      <c r="CW12" s="273">
        <f t="shared" si="31"/>
        <v>70987.38483227359</v>
      </c>
      <c r="CX12" s="273">
        <f t="shared" si="32"/>
        <v>18622.46532736453</v>
      </c>
      <c r="CY12" s="273">
        <f>IF(CT11=0,0,IF(CT12&gt;0,0,IF(AND(SUM(CT$7:CT11)&gt;0,SUM(CT12:CT$100)=0),CB$42,0)))</f>
        <v>0</v>
      </c>
      <c r="CZ12" s="273">
        <f>IF(CT11=0,0,IF(CT12&gt;0,0,IF(AND(SUM(CT$7:CT11)&gt;0,SUM(CT12:CT$100)=0),CB$41,0)))</f>
        <v>0</v>
      </c>
      <c r="DA12" s="273">
        <f>IF(SUM(CT$7:CT$100)=0,0,IF(SUM(CT12:CT$100)=0,CZ12-CY12,CM12-SUM(CN12:CR12)-CY12+CZ12))</f>
        <v>65319.975726048884</v>
      </c>
      <c r="DB12" s="274">
        <f t="shared" si="53"/>
        <v>2004</v>
      </c>
      <c r="DC12" s="275">
        <f t="shared" si="55"/>
        <v>52087.49506001217</v>
      </c>
      <c r="DD12" s="275">
        <f t="shared" si="56"/>
        <v>37049.007561856226</v>
      </c>
      <c r="DE12" s="275">
        <f t="shared" si="57"/>
        <v>20131.76006431431</v>
      </c>
      <c r="DF12" s="275">
        <f t="shared" si="58"/>
        <v>40608.78178850304</v>
      </c>
      <c r="DG12" s="360">
        <f t="shared" si="59"/>
        <v>10425.650112988935</v>
      </c>
      <c r="DH12" s="175" t="s">
        <v>196</v>
      </c>
      <c r="DI12" s="297">
        <f>CB43</f>
        <v>21.689524087764156</v>
      </c>
      <c r="DJ12" s="362" t="s">
        <v>197</v>
      </c>
      <c r="DK12" s="366">
        <f>IF(SUM(DC7:DC100)&lt;0,0,SUM(DF7:DF100))</f>
        <v>424531.2447979966</v>
      </c>
      <c r="DL12" s="438" t="s">
        <v>198</v>
      </c>
      <c r="DM12" s="291">
        <f>SUM(BM7:BM100)+(SUM(BN7:BN100)*AX45)+(SUM(BO7:BO100)*AX47)+(SUM(BP7:BP100)*AX49)+(SUM(BQ7:BQ100)*AX51)</f>
        <v>568415.2604418697</v>
      </c>
      <c r="DN12" s="446">
        <v>382612</v>
      </c>
    </row>
    <row r="13" spans="1:118" ht="15">
      <c r="A13" s="8"/>
      <c r="B13" s="393"/>
      <c r="C13" s="299"/>
      <c r="D13" s="277" t="s">
        <v>199</v>
      </c>
      <c r="E13" s="236">
        <v>7</v>
      </c>
      <c r="F13" s="238">
        <f t="shared" si="0"/>
        <v>7</v>
      </c>
      <c r="G13" s="452">
        <v>0</v>
      </c>
      <c r="H13" s="239">
        <f t="shared" si="1"/>
        <v>7</v>
      </c>
      <c r="I13" s="453">
        <v>1</v>
      </c>
      <c r="J13" s="240">
        <f t="shared" si="2"/>
        <v>7</v>
      </c>
      <c r="K13" s="451">
        <v>0.20422814984488932</v>
      </c>
      <c r="L13" s="241">
        <f t="shared" si="3"/>
        <v>7</v>
      </c>
      <c r="M13" s="454">
        <v>826.1940809920433</v>
      </c>
      <c r="N13" s="242">
        <f t="shared" si="4"/>
        <v>7</v>
      </c>
      <c r="O13" s="454">
        <v>49.60143581815409</v>
      </c>
      <c r="P13" s="243">
        <f t="shared" si="5"/>
        <v>7</v>
      </c>
      <c r="Q13" s="454">
        <v>198.56076240805032</v>
      </c>
      <c r="R13" s="244">
        <f t="shared" si="6"/>
        <v>7</v>
      </c>
      <c r="S13" s="457">
        <v>56.04233470728462</v>
      </c>
      <c r="T13" s="245">
        <f t="shared" si="7"/>
        <v>7</v>
      </c>
      <c r="U13" s="455">
        <v>419.97010632063</v>
      </c>
      <c r="V13" s="246">
        <f t="shared" si="8"/>
        <v>7</v>
      </c>
      <c r="W13" s="455">
        <v>711.9132506916507</v>
      </c>
      <c r="X13" s="247">
        <f t="shared" si="9"/>
        <v>7</v>
      </c>
      <c r="Y13" s="248">
        <f t="shared" si="10"/>
        <v>0</v>
      </c>
      <c r="Z13" s="249">
        <f t="shared" si="11"/>
        <v>0</v>
      </c>
      <c r="AA13" s="249">
        <f t="shared" si="12"/>
        <v>0</v>
      </c>
      <c r="AB13" s="250">
        <f t="shared" si="13"/>
        <v>0</v>
      </c>
      <c r="AC13" s="250">
        <f t="shared" si="14"/>
        <v>0</v>
      </c>
      <c r="AD13" s="250">
        <f t="shared" si="54"/>
        <v>0</v>
      </c>
      <c r="AE13" s="239">
        <f t="shared" si="15"/>
        <v>7</v>
      </c>
      <c r="AF13" s="251">
        <f t="shared" si="16"/>
        <v>0</v>
      </c>
      <c r="AG13" s="251">
        <f t="shared" si="17"/>
        <v>0</v>
      </c>
      <c r="AH13" s="251">
        <f t="shared" si="33"/>
        <v>0</v>
      </c>
      <c r="AI13" s="251">
        <f t="shared" si="18"/>
        <v>0</v>
      </c>
      <c r="AJ13" s="251">
        <f t="shared" si="19"/>
        <v>0</v>
      </c>
      <c r="AK13" s="251">
        <f t="shared" si="34"/>
        <v>0</v>
      </c>
      <c r="AL13" s="245">
        <f t="shared" si="20"/>
        <v>7</v>
      </c>
      <c r="AM13" s="252">
        <f t="shared" si="35"/>
        <v>0</v>
      </c>
      <c r="AN13" s="252">
        <f t="shared" si="21"/>
        <v>0</v>
      </c>
      <c r="AO13" s="252">
        <f t="shared" si="22"/>
        <v>0</v>
      </c>
      <c r="AP13" s="252">
        <f t="shared" si="23"/>
        <v>0</v>
      </c>
      <c r="AQ13" s="252">
        <f t="shared" si="24"/>
        <v>5360.3739868516195</v>
      </c>
      <c r="AR13" s="252">
        <f t="shared" si="36"/>
        <v>0</v>
      </c>
      <c r="AS13" s="397"/>
      <c r="AT13" s="300"/>
      <c r="AU13" s="132"/>
      <c r="AV13" s="37"/>
      <c r="AW13" s="37"/>
      <c r="AX13" s="37"/>
      <c r="AY13" s="412" t="s">
        <v>200</v>
      </c>
      <c r="AZ13" s="463">
        <v>0.007</v>
      </c>
      <c r="BA13" s="396" t="s">
        <v>201</v>
      </c>
      <c r="BB13" s="168">
        <v>42000</v>
      </c>
      <c r="BC13" s="168">
        <v>56000</v>
      </c>
      <c r="BD13" s="168">
        <v>63000</v>
      </c>
      <c r="BE13" s="257">
        <f t="shared" si="37"/>
        <v>2005</v>
      </c>
      <c r="BF13" s="258">
        <v>0</v>
      </c>
      <c r="BG13" s="259"/>
      <c r="BH13" s="260"/>
      <c r="BI13" s="261"/>
      <c r="BJ13" s="262">
        <v>7</v>
      </c>
      <c r="BK13" s="263">
        <v>12501</v>
      </c>
      <c r="BL13" s="264">
        <f t="shared" si="38"/>
        <v>2005</v>
      </c>
      <c r="BM13" s="258">
        <v>0</v>
      </c>
      <c r="BN13" s="259"/>
      <c r="BO13" s="260"/>
      <c r="BP13" s="261"/>
      <c r="BQ13" s="262">
        <v>10</v>
      </c>
      <c r="BR13" s="263">
        <v>15497</v>
      </c>
      <c r="BS13" s="265">
        <f t="shared" si="39"/>
        <v>2005</v>
      </c>
      <c r="BT13" s="258">
        <v>0</v>
      </c>
      <c r="BU13" s="259"/>
      <c r="BV13" s="260"/>
      <c r="BW13" s="261"/>
      <c r="BX13" s="262">
        <v>11</v>
      </c>
      <c r="BY13" s="263">
        <v>19928</v>
      </c>
      <c r="BZ13" s="368" t="s">
        <v>202</v>
      </c>
      <c r="CA13" s="368" t="s">
        <v>98</v>
      </c>
      <c r="CB13" s="369">
        <f>CB4-CB12</f>
        <v>-8237.452225108602</v>
      </c>
      <c r="CC13" s="266">
        <f t="shared" si="40"/>
        <v>2005</v>
      </c>
      <c r="CD13" s="267">
        <f t="shared" si="60"/>
        <v>19928</v>
      </c>
      <c r="CE13" s="267">
        <f t="shared" si="41"/>
        <v>11578.150390368159</v>
      </c>
      <c r="CF13" s="267">
        <f t="shared" si="42"/>
        <v>0</v>
      </c>
      <c r="CG13" s="267">
        <f t="shared" si="43"/>
        <v>11578.150390368159</v>
      </c>
      <c r="CH13" s="267">
        <f t="shared" si="44"/>
        <v>8047.60972207926</v>
      </c>
      <c r="CI13" s="267">
        <f t="shared" si="45"/>
        <v>19841.63855578361</v>
      </c>
      <c r="CJ13" s="269">
        <f t="shared" si="25"/>
        <v>19.01274428869284</v>
      </c>
      <c r="CK13" s="269">
        <f t="shared" si="46"/>
        <v>2.553385078195826</v>
      </c>
      <c r="CL13" s="270">
        <f t="shared" si="47"/>
        <v>2005</v>
      </c>
      <c r="CM13" s="271">
        <f t="shared" si="26"/>
        <v>203670.48959638426</v>
      </c>
      <c r="CN13" s="271">
        <f t="shared" si="48"/>
        <v>0</v>
      </c>
      <c r="CO13" s="271">
        <f t="shared" si="49"/>
        <v>10433.854388590797</v>
      </c>
      <c r="CP13" s="271">
        <f t="shared" si="27"/>
        <v>6400</v>
      </c>
      <c r="CQ13" s="271">
        <f t="shared" si="28"/>
        <v>5789.075195184079</v>
      </c>
      <c r="CR13" s="271">
        <f t="shared" si="29"/>
        <v>10507.54524130196</v>
      </c>
      <c r="CS13" s="271">
        <f t="shared" si="50"/>
        <v>180973.86915989823</v>
      </c>
      <c r="CT13" s="271">
        <f t="shared" si="51"/>
        <v>1</v>
      </c>
      <c r="CU13" s="272">
        <f t="shared" si="52"/>
        <v>2005</v>
      </c>
      <c r="CV13" s="273">
        <f t="shared" si="30"/>
        <v>11578.150390368159</v>
      </c>
      <c r="CW13" s="273">
        <f t="shared" si="31"/>
        <v>10433.854388590797</v>
      </c>
      <c r="CX13" s="273">
        <f t="shared" si="32"/>
        <v>22696.62043648604</v>
      </c>
      <c r="CY13" s="273">
        <f>IF(CT12=0,0,IF(CT13&gt;0,0,IF(AND(SUM(CT$7:CT12)&gt;0,SUM(CT13:CT$100)=0),CB$42,0)))</f>
        <v>0</v>
      </c>
      <c r="CZ13" s="273">
        <f>IF(CT12=0,0,IF(CT13&gt;0,0,IF(AND(SUM(CT$7:CT12)&gt;0,SUM(CT13:CT$100)=0),CB$41,0)))</f>
        <v>0</v>
      </c>
      <c r="DA13" s="273">
        <f>IF(SUM(CT$7:CT$100)=0,0,IF(SUM(CT13:CT$100)=0,CZ13-CY13,CM13-SUM(CN13:CR13)-CY13+CZ13))</f>
        <v>170540.0147713074</v>
      </c>
      <c r="DB13" s="274">
        <f t="shared" si="53"/>
        <v>2005</v>
      </c>
      <c r="DC13" s="275">
        <f t="shared" si="55"/>
        <v>129516.3076721346</v>
      </c>
      <c r="DD13" s="275">
        <f t="shared" si="56"/>
        <v>85600.91699485091</v>
      </c>
      <c r="DE13" s="275">
        <f t="shared" si="57"/>
        <v>2618.58633192868</v>
      </c>
      <c r="DF13" s="275">
        <f t="shared" si="58"/>
        <v>5282.081676313196</v>
      </c>
      <c r="DG13" s="360">
        <f t="shared" si="59"/>
        <v>12119.534811517391</v>
      </c>
      <c r="DH13" s="175"/>
      <c r="DI13" s="205"/>
      <c r="DJ13" s="56"/>
      <c r="DK13" s="233"/>
      <c r="DL13" s="441" t="s">
        <v>203</v>
      </c>
      <c r="DM13" s="442">
        <f>DM12*1.075</f>
        <v>611046.40497501</v>
      </c>
      <c r="DN13" s="440">
        <f>DN12/DN9</f>
        <v>433800.45351473923</v>
      </c>
    </row>
    <row r="14" spans="1:118" ht="15">
      <c r="A14" s="8"/>
      <c r="B14" s="391" t="s">
        <v>204</v>
      </c>
      <c r="C14" s="303" t="s">
        <v>205</v>
      </c>
      <c r="D14" s="277" t="s">
        <v>206</v>
      </c>
      <c r="E14" s="236">
        <v>8</v>
      </c>
      <c r="F14" s="238">
        <f t="shared" si="0"/>
        <v>8</v>
      </c>
      <c r="G14" s="452">
        <v>1</v>
      </c>
      <c r="H14" s="239">
        <f t="shared" si="1"/>
        <v>8</v>
      </c>
      <c r="I14" s="453">
        <v>3</v>
      </c>
      <c r="J14" s="240">
        <f t="shared" si="2"/>
        <v>8</v>
      </c>
      <c r="K14" s="451">
        <v>0.13891094251178074</v>
      </c>
      <c r="L14" s="241">
        <f t="shared" si="3"/>
        <v>8</v>
      </c>
      <c r="M14" s="454">
        <v>1395.3433215569603</v>
      </c>
      <c r="N14" s="242">
        <f t="shared" si="4"/>
        <v>8</v>
      </c>
      <c r="O14" s="454">
        <v>117.09350692613246</v>
      </c>
      <c r="P14" s="243">
        <f t="shared" si="5"/>
        <v>8</v>
      </c>
      <c r="Q14" s="454">
        <v>193.3003139427517</v>
      </c>
      <c r="R14" s="244">
        <f t="shared" si="6"/>
        <v>8</v>
      </c>
      <c r="S14" s="457">
        <v>60.99604133248083</v>
      </c>
      <c r="T14" s="245">
        <f t="shared" si="7"/>
        <v>8</v>
      </c>
      <c r="U14" s="455">
        <v>452.8714299311523</v>
      </c>
      <c r="V14" s="246">
        <f t="shared" si="8"/>
        <v>8</v>
      </c>
      <c r="W14" s="455">
        <v>650.1279916124089</v>
      </c>
      <c r="X14" s="247">
        <f t="shared" si="9"/>
        <v>8</v>
      </c>
      <c r="Y14" s="248">
        <f t="shared" si="10"/>
        <v>0</v>
      </c>
      <c r="Z14" s="249">
        <f t="shared" si="11"/>
        <v>0</v>
      </c>
      <c r="AA14" s="249">
        <f t="shared" si="12"/>
        <v>0</v>
      </c>
      <c r="AB14" s="250">
        <f t="shared" si="13"/>
        <v>0</v>
      </c>
      <c r="AC14" s="250">
        <f t="shared" si="14"/>
        <v>0</v>
      </c>
      <c r="AD14" s="250">
        <f t="shared" si="54"/>
        <v>0</v>
      </c>
      <c r="AE14" s="239">
        <f t="shared" si="15"/>
        <v>8</v>
      </c>
      <c r="AF14" s="251">
        <f t="shared" si="16"/>
        <v>1637.8369603793647</v>
      </c>
      <c r="AG14" s="251">
        <f t="shared" si="17"/>
        <v>741.729566241095</v>
      </c>
      <c r="AH14" s="251">
        <f t="shared" si="33"/>
        <v>1034.967396655853</v>
      </c>
      <c r="AI14" s="251">
        <f t="shared" si="18"/>
        <v>10152.71697845424</v>
      </c>
      <c r="AJ14" s="251">
        <f t="shared" si="19"/>
        <v>6600.565498611659</v>
      </c>
      <c r="AK14" s="251">
        <f t="shared" si="34"/>
        <v>772.8833619280753</v>
      </c>
      <c r="AL14" s="245">
        <f t="shared" si="20"/>
        <v>8</v>
      </c>
      <c r="AM14" s="252">
        <f t="shared" si="35"/>
        <v>11790.553938833606</v>
      </c>
      <c r="AN14" s="252">
        <f t="shared" si="21"/>
        <v>1514.6129281691701</v>
      </c>
      <c r="AO14" s="252">
        <f t="shared" si="22"/>
        <v>7635.532895267512</v>
      </c>
      <c r="AP14" s="252">
        <f t="shared" si="23"/>
        <v>2873.248674658051</v>
      </c>
      <c r="AQ14" s="252">
        <f t="shared" si="24"/>
        <v>2873.2486746580516</v>
      </c>
      <c r="AR14" s="252">
        <f t="shared" si="36"/>
        <v>2873.2486746580516</v>
      </c>
      <c r="AS14" s="396" t="s">
        <v>207</v>
      </c>
      <c r="AT14" s="293">
        <f>SUM(AA7:AA100)</f>
        <v>47810.169259484115</v>
      </c>
      <c r="AU14" s="304"/>
      <c r="AV14" s="37"/>
      <c r="AW14" s="37"/>
      <c r="AX14" s="37"/>
      <c r="AY14" s="39"/>
      <c r="AZ14" s="158"/>
      <c r="BA14" s="305"/>
      <c r="BB14" s="35"/>
      <c r="BC14" s="35"/>
      <c r="BD14" s="306"/>
      <c r="BE14" s="257">
        <f t="shared" si="37"/>
        <v>2006</v>
      </c>
      <c r="BF14" s="258">
        <v>0</v>
      </c>
      <c r="BG14" s="259"/>
      <c r="BH14" s="260"/>
      <c r="BI14" s="261"/>
      <c r="BJ14" s="262"/>
      <c r="BK14" s="263">
        <v>12789</v>
      </c>
      <c r="BL14" s="264">
        <f t="shared" si="38"/>
        <v>2006</v>
      </c>
      <c r="BM14" s="258">
        <v>0</v>
      </c>
      <c r="BN14" s="259"/>
      <c r="BO14" s="260"/>
      <c r="BP14" s="261"/>
      <c r="BQ14" s="262"/>
      <c r="BR14" s="263">
        <v>17563</v>
      </c>
      <c r="BS14" s="265">
        <f t="shared" si="39"/>
        <v>2006</v>
      </c>
      <c r="BT14" s="301">
        <v>0</v>
      </c>
      <c r="BU14" s="259"/>
      <c r="BV14" s="260"/>
      <c r="BW14" s="261"/>
      <c r="BX14" s="262"/>
      <c r="BY14" s="263">
        <v>22419</v>
      </c>
      <c r="BZ14" s="368" t="s">
        <v>208</v>
      </c>
      <c r="CA14" s="368" t="s">
        <v>140</v>
      </c>
      <c r="CB14" s="374">
        <f>(AX22*CB5)/(2*AX20)</f>
        <v>0.03403590173265536</v>
      </c>
      <c r="CC14" s="266">
        <f t="shared" si="40"/>
        <v>2006</v>
      </c>
      <c r="CD14" s="267">
        <f t="shared" si="60"/>
        <v>22419</v>
      </c>
      <c r="CE14" s="267">
        <f t="shared" si="41"/>
        <v>13025.419189164179</v>
      </c>
      <c r="CF14" s="267">
        <f t="shared" si="42"/>
        <v>0</v>
      </c>
      <c r="CG14" s="267">
        <f t="shared" si="43"/>
        <v>13025.419189164179</v>
      </c>
      <c r="CH14" s="267">
        <f t="shared" si="44"/>
        <v>9053.560937339167</v>
      </c>
      <c r="CI14" s="267">
        <f t="shared" si="45"/>
        <v>22321.843375256565</v>
      </c>
      <c r="CJ14" s="269">
        <f t="shared" si="25"/>
        <v>19.354973685889313</v>
      </c>
      <c r="CK14" s="269">
        <f t="shared" si="46"/>
        <v>2.584025699134176</v>
      </c>
      <c r="CL14" s="270">
        <f t="shared" si="47"/>
        <v>2006</v>
      </c>
      <c r="CM14" s="271">
        <f t="shared" si="26"/>
        <v>232911.65063950588</v>
      </c>
      <c r="CN14" s="271">
        <f t="shared" si="48"/>
        <v>0</v>
      </c>
      <c r="CO14" s="271">
        <f t="shared" si="49"/>
        <v>0</v>
      </c>
      <c r="CP14" s="271">
        <f t="shared" si="27"/>
        <v>6400</v>
      </c>
      <c r="CQ14" s="271">
        <f t="shared" si="28"/>
        <v>6512.709594582089</v>
      </c>
      <c r="CR14" s="271">
        <f t="shared" si="29"/>
        <v>11820.988396464705</v>
      </c>
      <c r="CS14" s="271">
        <f t="shared" si="50"/>
        <v>208177.9526484591</v>
      </c>
      <c r="CT14" s="271">
        <f t="shared" si="51"/>
        <v>1</v>
      </c>
      <c r="CU14" s="272">
        <f t="shared" si="52"/>
        <v>2006</v>
      </c>
      <c r="CV14" s="273">
        <f t="shared" si="30"/>
        <v>13025.419189164179</v>
      </c>
      <c r="CW14" s="273">
        <f t="shared" si="31"/>
        <v>0</v>
      </c>
      <c r="CX14" s="273">
        <f t="shared" si="32"/>
        <v>24733.697991046793</v>
      </c>
      <c r="CY14" s="273">
        <f>IF(CT13=0,0,IF(CT14&gt;0,0,IF(AND(SUM(CT$7:CT13)&gt;0,SUM(CT14:CT$100)=0),CB$42,0)))</f>
        <v>0</v>
      </c>
      <c r="CZ14" s="273">
        <f>IF(CT13=0,0,IF(CT14&gt;0,0,IF(AND(SUM(CT$7:CT13)&gt;0,SUM(CT14:CT$100)=0),CB$41,0)))</f>
        <v>0</v>
      </c>
      <c r="DA14" s="273">
        <f>IF(SUM(CT$7:CT$100)=0,0,IF(SUM(CT14:CT$100)=0,CZ14-CY14,CM14-SUM(CN14:CR14)-CY14+CZ14))</f>
        <v>208177.9526484591</v>
      </c>
      <c r="DB14" s="274">
        <f t="shared" si="53"/>
        <v>2006</v>
      </c>
      <c r="DC14" s="275">
        <f t="shared" si="55"/>
        <v>150571.78279874963</v>
      </c>
      <c r="DD14" s="275">
        <f t="shared" si="56"/>
        <v>92471.60815214633</v>
      </c>
      <c r="DE14" s="275">
        <f t="shared" si="57"/>
        <v>0</v>
      </c>
      <c r="DF14" s="275">
        <f t="shared" si="58"/>
        <v>0</v>
      </c>
      <c r="DG14" s="360">
        <f t="shared" si="59"/>
        <v>12275.92116800725</v>
      </c>
      <c r="DH14" s="175" t="s">
        <v>209</v>
      </c>
      <c r="DI14" s="297">
        <f>CB45</f>
        <v>2.2691576611065236</v>
      </c>
      <c r="DJ14" s="232"/>
      <c r="DK14" s="307"/>
      <c r="DL14" s="292" t="s">
        <v>210</v>
      </c>
      <c r="DM14" s="437" t="s">
        <v>211</v>
      </c>
      <c r="DN14" s="298"/>
    </row>
    <row r="15" spans="1:118" ht="20.25">
      <c r="A15" s="8"/>
      <c r="B15" s="9"/>
      <c r="C15" s="9"/>
      <c r="D15" s="277" t="s">
        <v>212</v>
      </c>
      <c r="E15" s="236">
        <v>9</v>
      </c>
      <c r="F15" s="238">
        <f t="shared" si="0"/>
        <v>9</v>
      </c>
      <c r="G15" s="452">
        <v>1</v>
      </c>
      <c r="H15" s="239">
        <f t="shared" si="1"/>
        <v>9</v>
      </c>
      <c r="I15" s="453">
        <v>1</v>
      </c>
      <c r="J15" s="240">
        <f t="shared" si="2"/>
        <v>9</v>
      </c>
      <c r="K15" s="451">
        <v>0.5745167847526516</v>
      </c>
      <c r="L15" s="241">
        <f t="shared" si="3"/>
        <v>9</v>
      </c>
      <c r="M15" s="454">
        <v>1349.300737120122</v>
      </c>
      <c r="N15" s="242">
        <f t="shared" si="4"/>
        <v>9</v>
      </c>
      <c r="O15" s="454">
        <v>43.968750747103215</v>
      </c>
      <c r="P15" s="243">
        <f t="shared" si="5"/>
        <v>9</v>
      </c>
      <c r="Q15" s="454">
        <v>376.4037413496611</v>
      </c>
      <c r="R15" s="244">
        <f t="shared" si="6"/>
        <v>9</v>
      </c>
      <c r="S15" s="457">
        <v>103.48868913098828</v>
      </c>
      <c r="T15" s="245">
        <f t="shared" si="7"/>
        <v>9</v>
      </c>
      <c r="U15" s="455">
        <v>511.0526012714222</v>
      </c>
      <c r="V15" s="246">
        <f t="shared" si="8"/>
        <v>9</v>
      </c>
      <c r="W15" s="455">
        <v>663.3795322957867</v>
      </c>
      <c r="X15" s="247">
        <f t="shared" si="9"/>
        <v>9</v>
      </c>
      <c r="Y15" s="248">
        <f t="shared" si="10"/>
        <v>38953.529776275995</v>
      </c>
      <c r="Z15" s="249">
        <f t="shared" si="11"/>
        <v>19907.302720869648</v>
      </c>
      <c r="AA15" s="249">
        <f t="shared" si="12"/>
        <v>26860.938235342826</v>
      </c>
      <c r="AB15" s="250">
        <f t="shared" si="13"/>
        <v>0</v>
      </c>
      <c r="AC15" s="250">
        <f t="shared" si="14"/>
        <v>0</v>
      </c>
      <c r="AD15" s="250">
        <f t="shared" si="54"/>
        <v>0</v>
      </c>
      <c r="AE15" s="239">
        <f t="shared" si="15"/>
        <v>9</v>
      </c>
      <c r="AF15" s="251">
        <f t="shared" si="16"/>
        <v>0</v>
      </c>
      <c r="AG15" s="251">
        <f t="shared" si="17"/>
        <v>0</v>
      </c>
      <c r="AH15" s="251">
        <f t="shared" si="33"/>
        <v>0</v>
      </c>
      <c r="AI15" s="251">
        <f t="shared" si="18"/>
        <v>0</v>
      </c>
      <c r="AJ15" s="251">
        <f t="shared" si="19"/>
        <v>0</v>
      </c>
      <c r="AK15" s="251">
        <f t="shared" si="34"/>
        <v>0</v>
      </c>
      <c r="AL15" s="245">
        <f t="shared" si="20"/>
        <v>9</v>
      </c>
      <c r="AM15" s="252">
        <f t="shared" si="35"/>
        <v>38953.529776275995</v>
      </c>
      <c r="AN15" s="252">
        <f t="shared" si="21"/>
        <v>19907.302720869648</v>
      </c>
      <c r="AO15" s="252">
        <f t="shared" si="22"/>
        <v>26860.938235342826</v>
      </c>
      <c r="AP15" s="252">
        <f t="shared" si="23"/>
        <v>24686.829097265167</v>
      </c>
      <c r="AQ15" s="252">
        <f t="shared" si="24"/>
        <v>24686.829097265167</v>
      </c>
      <c r="AR15" s="252">
        <f t="shared" si="36"/>
        <v>24686.829097265167</v>
      </c>
      <c r="AS15" s="397"/>
      <c r="AT15" s="300"/>
      <c r="AU15" s="132"/>
      <c r="AV15" s="221" t="s">
        <v>213</v>
      </c>
      <c r="AW15" s="87"/>
      <c r="AX15" s="87"/>
      <c r="AY15" s="88" t="s">
        <v>214</v>
      </c>
      <c r="AZ15" s="308"/>
      <c r="BA15" s="305"/>
      <c r="BB15" s="309"/>
      <c r="BC15" s="309"/>
      <c r="BD15" s="309"/>
      <c r="BE15" s="257">
        <f t="shared" si="37"/>
        <v>2007</v>
      </c>
      <c r="BF15" s="258">
        <v>0</v>
      </c>
      <c r="BG15" s="259"/>
      <c r="BH15" s="260"/>
      <c r="BI15" s="261"/>
      <c r="BJ15" s="262"/>
      <c r="BK15" s="263">
        <v>10863</v>
      </c>
      <c r="BL15" s="264">
        <f t="shared" si="38"/>
        <v>2007</v>
      </c>
      <c r="BM15" s="258">
        <v>0</v>
      </c>
      <c r="BN15" s="259"/>
      <c r="BO15" s="260"/>
      <c r="BP15" s="261"/>
      <c r="BQ15" s="262"/>
      <c r="BR15" s="263">
        <v>14463</v>
      </c>
      <c r="BS15" s="265">
        <f t="shared" si="39"/>
        <v>2007</v>
      </c>
      <c r="BT15" s="301">
        <v>0</v>
      </c>
      <c r="BU15" s="259"/>
      <c r="BV15" s="260"/>
      <c r="BW15" s="261"/>
      <c r="BX15" s="262"/>
      <c r="BY15" s="263">
        <v>17437</v>
      </c>
      <c r="BZ15" s="368" t="s">
        <v>215</v>
      </c>
      <c r="CA15" s="368" t="s">
        <v>140</v>
      </c>
      <c r="CB15" s="466">
        <v>0.6950686811577479</v>
      </c>
      <c r="CC15" s="266">
        <f t="shared" si="40"/>
        <v>2007</v>
      </c>
      <c r="CD15" s="267">
        <f t="shared" si="60"/>
        <v>17437</v>
      </c>
      <c r="CE15" s="267">
        <f t="shared" si="41"/>
        <v>10130.881591572139</v>
      </c>
      <c r="CF15" s="267">
        <f t="shared" si="42"/>
        <v>0</v>
      </c>
      <c r="CG15" s="267">
        <f t="shared" si="43"/>
        <v>10130.881591572139</v>
      </c>
      <c r="CH15" s="267">
        <f t="shared" si="44"/>
        <v>7041.658506819353</v>
      </c>
      <c r="CI15" s="267">
        <f t="shared" si="45"/>
        <v>17361.43373631066</v>
      </c>
      <c r="CJ15" s="269">
        <f t="shared" si="25"/>
        <v>19.70336321223532</v>
      </c>
      <c r="CK15" s="269">
        <f t="shared" si="46"/>
        <v>2.6150340075237857</v>
      </c>
      <c r="CL15" s="270">
        <f t="shared" si="47"/>
        <v>2007</v>
      </c>
      <c r="CM15" s="271">
        <f t="shared" si="26"/>
        <v>184145.09481621144</v>
      </c>
      <c r="CN15" s="271">
        <f t="shared" si="48"/>
        <v>0</v>
      </c>
      <c r="CO15" s="271">
        <f t="shared" si="49"/>
        <v>0</v>
      </c>
      <c r="CP15" s="271">
        <f t="shared" si="27"/>
        <v>6400</v>
      </c>
      <c r="CQ15" s="271">
        <f t="shared" si="28"/>
        <v>5065.440795786069</v>
      </c>
      <c r="CR15" s="271">
        <f t="shared" si="29"/>
        <v>9194.102086139215</v>
      </c>
      <c r="CS15" s="271">
        <f t="shared" si="50"/>
        <v>163485.55193428617</v>
      </c>
      <c r="CT15" s="271">
        <f t="shared" si="51"/>
        <v>1</v>
      </c>
      <c r="CU15" s="272">
        <f t="shared" si="52"/>
        <v>2007</v>
      </c>
      <c r="CV15" s="273">
        <f t="shared" si="30"/>
        <v>10130.881591572139</v>
      </c>
      <c r="CW15" s="273">
        <f t="shared" si="31"/>
        <v>0</v>
      </c>
      <c r="CX15" s="273">
        <f t="shared" si="32"/>
        <v>20659.542881925285</v>
      </c>
      <c r="CY15" s="273">
        <f>IF(CT14=0,0,IF(CT15&gt;0,0,IF(AND(SUM(CT$7:CT14)&gt;0,SUM(CT15:CT$100)=0),CB$42,0)))</f>
        <v>0</v>
      </c>
      <c r="CZ15" s="273">
        <f>IF(CT14=0,0,IF(CT15&gt;0,0,IF(AND(SUM(CT$7:CT14)&gt;0,SUM(CT15:CT$100)=0),CB$41,0)))</f>
        <v>0</v>
      </c>
      <c r="DA15" s="273">
        <f>IF(SUM(CT$7:CT$100)=0,0,IF(SUM(CT15:CT$100)=0,CZ15-CY15,CM15-SUM(CN15:CR15)-CY15+CZ15))</f>
        <v>163485.55193428614</v>
      </c>
      <c r="DB15" s="274">
        <f t="shared" si="53"/>
        <v>2007</v>
      </c>
      <c r="DC15" s="275">
        <f t="shared" si="55"/>
        <v>112615.69936595592</v>
      </c>
      <c r="DD15" s="275">
        <f t="shared" si="56"/>
        <v>64265.014765905</v>
      </c>
      <c r="DE15" s="275">
        <f t="shared" si="57"/>
        <v>0</v>
      </c>
      <c r="DF15" s="275">
        <f t="shared" si="58"/>
        <v>0</v>
      </c>
      <c r="DG15" s="360">
        <f t="shared" si="59"/>
        <v>8596.499811514768</v>
      </c>
      <c r="DH15" s="233"/>
      <c r="DI15" s="233"/>
      <c r="DJ15" s="233"/>
      <c r="DK15" s="233"/>
      <c r="DL15" s="37"/>
      <c r="DM15" s="439" t="str">
        <f>IF(DM13&lt;DN13,"Fails 7.5% Test","Passes 7.5% Test")</f>
        <v>Passes 7.5% Test</v>
      </c>
      <c r="DN15" s="302"/>
    </row>
    <row r="16" spans="1:118" ht="25.5">
      <c r="A16" s="310" t="s">
        <v>216</v>
      </c>
      <c r="B16" s="9"/>
      <c r="C16" s="9"/>
      <c r="D16" s="277" t="s">
        <v>217</v>
      </c>
      <c r="E16" s="236">
        <v>10</v>
      </c>
      <c r="F16" s="238">
        <f t="shared" si="0"/>
        <v>10</v>
      </c>
      <c r="G16" s="452">
        <v>0</v>
      </c>
      <c r="H16" s="239">
        <f t="shared" si="1"/>
        <v>10</v>
      </c>
      <c r="I16" s="453">
        <v>2</v>
      </c>
      <c r="J16" s="240">
        <f t="shared" si="2"/>
        <v>10</v>
      </c>
      <c r="K16" s="451">
        <v>0.14258248766065806</v>
      </c>
      <c r="L16" s="241">
        <f t="shared" si="3"/>
        <v>10</v>
      </c>
      <c r="M16" s="454">
        <v>923.1736255900495</v>
      </c>
      <c r="N16" s="242">
        <f t="shared" si="4"/>
        <v>10</v>
      </c>
      <c r="O16" s="454">
        <v>49.31596722228496</v>
      </c>
      <c r="P16" s="243">
        <f t="shared" si="5"/>
        <v>10</v>
      </c>
      <c r="Q16" s="454">
        <v>369.16479217770546</v>
      </c>
      <c r="R16" s="244">
        <f t="shared" si="6"/>
        <v>10</v>
      </c>
      <c r="S16" s="457">
        <v>83.04415922881877</v>
      </c>
      <c r="T16" s="245">
        <f t="shared" si="7"/>
        <v>10</v>
      </c>
      <c r="U16" s="455">
        <v>390.1176833719529</v>
      </c>
      <c r="V16" s="246">
        <f t="shared" si="8"/>
        <v>10</v>
      </c>
      <c r="W16" s="455">
        <v>861.6847929741517</v>
      </c>
      <c r="X16" s="247">
        <f t="shared" si="9"/>
        <v>10</v>
      </c>
      <c r="Y16" s="248">
        <f t="shared" si="10"/>
        <v>0</v>
      </c>
      <c r="Z16" s="249">
        <f t="shared" si="11"/>
        <v>0</v>
      </c>
      <c r="AA16" s="249">
        <f t="shared" si="12"/>
        <v>0</v>
      </c>
      <c r="AB16" s="250">
        <f t="shared" si="13"/>
        <v>0</v>
      </c>
      <c r="AC16" s="250">
        <f t="shared" si="14"/>
        <v>0</v>
      </c>
      <c r="AD16" s="250">
        <f t="shared" si="54"/>
        <v>0</v>
      </c>
      <c r="AE16" s="239">
        <f t="shared" si="15"/>
        <v>10</v>
      </c>
      <c r="AF16" s="251">
        <f t="shared" si="16"/>
        <v>0</v>
      </c>
      <c r="AG16" s="251">
        <f t="shared" si="17"/>
        <v>0</v>
      </c>
      <c r="AH16" s="251">
        <f t="shared" si="33"/>
        <v>0</v>
      </c>
      <c r="AI16" s="251">
        <f t="shared" si="18"/>
        <v>0</v>
      </c>
      <c r="AJ16" s="251">
        <f t="shared" si="19"/>
        <v>0</v>
      </c>
      <c r="AK16" s="251">
        <f t="shared" si="34"/>
        <v>0</v>
      </c>
      <c r="AL16" s="245">
        <f t="shared" si="20"/>
        <v>10</v>
      </c>
      <c r="AM16" s="252">
        <f t="shared" si="35"/>
        <v>0</v>
      </c>
      <c r="AN16" s="252">
        <f t="shared" si="21"/>
        <v>0</v>
      </c>
      <c r="AO16" s="252">
        <f t="shared" si="22"/>
        <v>0</v>
      </c>
      <c r="AP16" s="252">
        <f t="shared" si="23"/>
        <v>0</v>
      </c>
      <c r="AQ16" s="252">
        <f t="shared" si="24"/>
        <v>6003.234920650646</v>
      </c>
      <c r="AR16" s="252">
        <f t="shared" si="36"/>
        <v>0</v>
      </c>
      <c r="AS16" s="396" t="s">
        <v>218</v>
      </c>
      <c r="AT16" s="293">
        <f>SUM(AC7:AC100)</f>
        <v>17706.2940582227</v>
      </c>
      <c r="AU16" s="311"/>
      <c r="AV16" s="3" t="s">
        <v>219</v>
      </c>
      <c r="AW16" s="87"/>
      <c r="AX16" s="87"/>
      <c r="AY16" s="2" t="s">
        <v>220</v>
      </c>
      <c r="AZ16" s="4"/>
      <c r="BA16" s="130"/>
      <c r="BB16" s="306"/>
      <c r="BC16" s="306"/>
      <c r="BD16" s="306"/>
      <c r="BE16" s="257">
        <f t="shared" si="37"/>
        <v>2008</v>
      </c>
      <c r="BF16" s="258">
        <v>0</v>
      </c>
      <c r="BG16" s="259"/>
      <c r="BH16" s="260"/>
      <c r="BI16" s="261"/>
      <c r="BJ16" s="262"/>
      <c r="BK16" s="263">
        <v>9234</v>
      </c>
      <c r="BL16" s="264">
        <f t="shared" si="38"/>
        <v>2008</v>
      </c>
      <c r="BM16" s="258">
        <v>0</v>
      </c>
      <c r="BN16" s="259"/>
      <c r="BO16" s="260"/>
      <c r="BP16" s="261"/>
      <c r="BQ16" s="262"/>
      <c r="BR16" s="263">
        <v>12397</v>
      </c>
      <c r="BS16" s="265">
        <f t="shared" si="39"/>
        <v>2008</v>
      </c>
      <c r="BT16" s="301">
        <v>0</v>
      </c>
      <c r="BU16" s="259"/>
      <c r="BV16" s="260"/>
      <c r="BW16" s="261"/>
      <c r="BX16" s="262"/>
      <c r="BY16" s="263">
        <v>12455</v>
      </c>
      <c r="BZ16" s="368" t="s">
        <v>221</v>
      </c>
      <c r="CA16" s="368" t="s">
        <v>140</v>
      </c>
      <c r="CB16" s="371">
        <f>IF(CB5=0,0,CB15)</f>
        <v>0.6950686811577479</v>
      </c>
      <c r="CC16" s="266">
        <f t="shared" si="40"/>
        <v>2008</v>
      </c>
      <c r="CD16" s="267">
        <f t="shared" si="60"/>
        <v>12455</v>
      </c>
      <c r="CE16" s="267">
        <f t="shared" si="41"/>
        <v>7236.343993980099</v>
      </c>
      <c r="CF16" s="267">
        <f t="shared" si="42"/>
        <v>0</v>
      </c>
      <c r="CG16" s="267">
        <f t="shared" si="43"/>
        <v>7236.343993980099</v>
      </c>
      <c r="CH16" s="267">
        <f t="shared" si="44"/>
        <v>5029.756076299537</v>
      </c>
      <c r="CI16" s="267">
        <f t="shared" si="45"/>
        <v>12401.024097364758</v>
      </c>
      <c r="CJ16" s="269">
        <f t="shared" si="25"/>
        <v>20.058023750055554</v>
      </c>
      <c r="CK16" s="269">
        <f t="shared" si="46"/>
        <v>2.646414415614071</v>
      </c>
      <c r="CL16" s="270">
        <f t="shared" si="47"/>
        <v>2008</v>
      </c>
      <c r="CM16" s="271">
        <f t="shared" si="26"/>
        <v>133705.21577504592</v>
      </c>
      <c r="CN16" s="271">
        <f t="shared" si="48"/>
        <v>0</v>
      </c>
      <c r="CO16" s="271">
        <f t="shared" si="49"/>
        <v>0</v>
      </c>
      <c r="CP16" s="271">
        <f t="shared" si="27"/>
        <v>6400</v>
      </c>
      <c r="CQ16" s="271">
        <f t="shared" si="28"/>
        <v>3618.1719969900496</v>
      </c>
      <c r="CR16" s="271">
        <f t="shared" si="29"/>
        <v>6567.2157758137255</v>
      </c>
      <c r="CS16" s="271">
        <f t="shared" si="50"/>
        <v>117119.82800224214</v>
      </c>
      <c r="CT16" s="271">
        <f t="shared" si="51"/>
        <v>1</v>
      </c>
      <c r="CU16" s="272">
        <f t="shared" si="52"/>
        <v>2008</v>
      </c>
      <c r="CV16" s="273">
        <f t="shared" si="30"/>
        <v>7236.343993980099</v>
      </c>
      <c r="CW16" s="273">
        <f t="shared" si="31"/>
        <v>0</v>
      </c>
      <c r="CX16" s="273">
        <f t="shared" si="32"/>
        <v>16585.387772803777</v>
      </c>
      <c r="CY16" s="273">
        <f>IF(CT15=0,0,IF(CT16&gt;0,0,IF(AND(SUM(CT$7:CT15)&gt;0,SUM(CT16:CT$100)=0),CB$42,0)))</f>
        <v>0</v>
      </c>
      <c r="CZ16" s="273">
        <f>IF(CT15=0,0,IF(CT16&gt;0,0,IF(AND(SUM(CT$7:CT15)&gt;0,SUM(CT16:CT$100)=0),CB$41,0)))</f>
        <v>0</v>
      </c>
      <c r="DA16" s="273">
        <f>IF(SUM(CT$7:CT$100)=0,0,IF(SUM(CT16:CT$100)=0,CZ16-CY16,CM16-SUM(CN16:CR16)-CY16+CZ16))</f>
        <v>117119.82800224214</v>
      </c>
      <c r="DB16" s="274">
        <f t="shared" si="53"/>
        <v>2008</v>
      </c>
      <c r="DC16" s="275">
        <f t="shared" si="55"/>
        <v>76835.28159225533</v>
      </c>
      <c r="DD16" s="275">
        <f t="shared" si="56"/>
        <v>40742.457038248154</v>
      </c>
      <c r="DE16" s="275">
        <f t="shared" si="57"/>
        <v>0</v>
      </c>
      <c r="DF16" s="275">
        <f t="shared" si="58"/>
        <v>0</v>
      </c>
      <c r="DG16" s="360">
        <f t="shared" si="59"/>
        <v>5528.434628932288</v>
      </c>
      <c r="DH16" s="175" t="s">
        <v>222</v>
      </c>
      <c r="DI16" s="176">
        <f>SUM(CW7:CW100)</f>
        <v>595513.7986390031</v>
      </c>
      <c r="DJ16" s="233"/>
      <c r="DK16" s="233"/>
      <c r="DL16" s="37"/>
      <c r="DM16" s="37"/>
      <c r="DN16" s="37"/>
    </row>
    <row r="17" spans="1:118" ht="15">
      <c r="A17" s="312"/>
      <c r="B17" s="9"/>
      <c r="C17" s="9"/>
      <c r="D17" s="277" t="s">
        <v>223</v>
      </c>
      <c r="E17" s="236">
        <v>11</v>
      </c>
      <c r="F17" s="238">
        <f t="shared" si="0"/>
        <v>11</v>
      </c>
      <c r="G17" s="452">
        <v>1</v>
      </c>
      <c r="H17" s="239">
        <f t="shared" si="1"/>
        <v>11</v>
      </c>
      <c r="I17" s="453">
        <v>1</v>
      </c>
      <c r="J17" s="240">
        <f t="shared" si="2"/>
        <v>11</v>
      </c>
      <c r="K17" s="451">
        <v>0.4029524713870801</v>
      </c>
      <c r="L17" s="241">
        <f t="shared" si="3"/>
        <v>11</v>
      </c>
      <c r="M17" s="454">
        <v>1928.230446711317</v>
      </c>
      <c r="N17" s="242">
        <f t="shared" si="4"/>
        <v>11</v>
      </c>
      <c r="O17" s="454">
        <v>89.30542140248993</v>
      </c>
      <c r="P17" s="243">
        <f t="shared" si="5"/>
        <v>11</v>
      </c>
      <c r="Q17" s="454">
        <v>308.83132552209844</v>
      </c>
      <c r="R17" s="244">
        <f t="shared" si="6"/>
        <v>11</v>
      </c>
      <c r="S17" s="457">
        <v>55.98369421685643</v>
      </c>
      <c r="T17" s="245">
        <f t="shared" si="7"/>
        <v>11</v>
      </c>
      <c r="U17" s="455">
        <v>209.21994979129406</v>
      </c>
      <c r="V17" s="246">
        <f t="shared" si="8"/>
        <v>11</v>
      </c>
      <c r="W17" s="455">
        <v>463.17902381501096</v>
      </c>
      <c r="X17" s="247">
        <f t="shared" si="9"/>
        <v>11</v>
      </c>
      <c r="Y17" s="248">
        <f t="shared" si="10"/>
        <v>17289.518492615607</v>
      </c>
      <c r="Z17" s="249">
        <f t="shared" si="11"/>
        <v>3617.3121909406873</v>
      </c>
      <c r="AA17" s="249">
        <f t="shared" si="12"/>
        <v>6975.011501831854</v>
      </c>
      <c r="AB17" s="250">
        <f t="shared" si="13"/>
        <v>0</v>
      </c>
      <c r="AC17" s="250">
        <f t="shared" si="14"/>
        <v>0</v>
      </c>
      <c r="AD17" s="250">
        <f t="shared" si="54"/>
        <v>0</v>
      </c>
      <c r="AE17" s="239">
        <f t="shared" si="15"/>
        <v>11</v>
      </c>
      <c r="AF17" s="251">
        <f t="shared" si="16"/>
        <v>0</v>
      </c>
      <c r="AG17" s="251">
        <f t="shared" si="17"/>
        <v>0</v>
      </c>
      <c r="AH17" s="251">
        <f t="shared" si="33"/>
        <v>0</v>
      </c>
      <c r="AI17" s="251">
        <f t="shared" si="18"/>
        <v>0</v>
      </c>
      <c r="AJ17" s="251">
        <f t="shared" si="19"/>
        <v>0</v>
      </c>
      <c r="AK17" s="251">
        <f t="shared" si="34"/>
        <v>0</v>
      </c>
      <c r="AL17" s="245">
        <f t="shared" si="20"/>
        <v>11</v>
      </c>
      <c r="AM17" s="252">
        <f t="shared" si="35"/>
        <v>17289.518492615607</v>
      </c>
      <c r="AN17" s="252">
        <f t="shared" si="21"/>
        <v>3617.3121909406873</v>
      </c>
      <c r="AO17" s="252">
        <f t="shared" si="22"/>
        <v>6975.011501831854</v>
      </c>
      <c r="AP17" s="252">
        <f t="shared" si="23"/>
        <v>4858.41744037696</v>
      </c>
      <c r="AQ17" s="252">
        <f t="shared" si="24"/>
        <v>4858.41744037696</v>
      </c>
      <c r="AR17" s="252">
        <f t="shared" si="36"/>
        <v>4858.41744037696</v>
      </c>
      <c r="AS17" s="397"/>
      <c r="AT17" s="300"/>
      <c r="AU17" s="313"/>
      <c r="AV17" s="37"/>
      <c r="AW17" s="37"/>
      <c r="AX17" s="37"/>
      <c r="AY17" s="39"/>
      <c r="AZ17" s="158"/>
      <c r="BA17" s="131"/>
      <c r="BB17" s="306"/>
      <c r="BC17" s="306"/>
      <c r="BD17" s="306"/>
      <c r="BE17" s="257">
        <f t="shared" si="37"/>
        <v>2009</v>
      </c>
      <c r="BF17" s="258">
        <v>0</v>
      </c>
      <c r="BG17" s="259"/>
      <c r="BH17" s="260"/>
      <c r="BI17" s="261"/>
      <c r="BJ17" s="262"/>
      <c r="BK17" s="263">
        <v>7848</v>
      </c>
      <c r="BL17" s="264">
        <f t="shared" si="38"/>
        <v>2009</v>
      </c>
      <c r="BM17" s="258">
        <v>0</v>
      </c>
      <c r="BN17" s="259"/>
      <c r="BO17" s="260"/>
      <c r="BP17" s="261"/>
      <c r="BQ17" s="262"/>
      <c r="BR17" s="263">
        <v>10331</v>
      </c>
      <c r="BS17" s="265">
        <f t="shared" si="39"/>
        <v>2009</v>
      </c>
      <c r="BT17" s="301">
        <v>0</v>
      </c>
      <c r="BU17" s="259"/>
      <c r="BV17" s="260"/>
      <c r="BW17" s="261"/>
      <c r="BX17" s="262"/>
      <c r="BY17" s="263">
        <v>8719</v>
      </c>
      <c r="BZ17" s="368" t="s">
        <v>224</v>
      </c>
      <c r="CA17" s="368" t="s">
        <v>140</v>
      </c>
      <c r="CB17" s="371">
        <f>CB5-CB16</f>
        <v>0.034329189453665254</v>
      </c>
      <c r="CC17" s="266">
        <f t="shared" si="40"/>
        <v>2009</v>
      </c>
      <c r="CD17" s="267">
        <f t="shared" si="60"/>
        <v>8719</v>
      </c>
      <c r="CE17" s="267">
        <f t="shared" si="41"/>
        <v>5065.731295344239</v>
      </c>
      <c r="CF17" s="267">
        <f t="shared" si="42"/>
        <v>0</v>
      </c>
      <c r="CG17" s="267">
        <f t="shared" si="43"/>
        <v>5065.731295344239</v>
      </c>
      <c r="CH17" s="267">
        <f t="shared" si="44"/>
        <v>3521.03117055445</v>
      </c>
      <c r="CI17" s="267">
        <f t="shared" si="45"/>
        <v>8681.214701318613</v>
      </c>
      <c r="CJ17" s="269">
        <f t="shared" si="25"/>
        <v>20.419068177556557</v>
      </c>
      <c r="CK17" s="269">
        <f t="shared" si="46"/>
        <v>2.67817138860144</v>
      </c>
      <c r="CL17" s="270">
        <f t="shared" si="47"/>
        <v>2009</v>
      </c>
      <c r="CM17" s="271">
        <f t="shared" si="26"/>
        <v>95145.95635823079</v>
      </c>
      <c r="CN17" s="271">
        <f t="shared" si="48"/>
        <v>0</v>
      </c>
      <c r="CO17" s="271">
        <f t="shared" si="49"/>
        <v>0</v>
      </c>
      <c r="CP17" s="271">
        <f t="shared" si="27"/>
        <v>6400</v>
      </c>
      <c r="CQ17" s="271">
        <f t="shared" si="28"/>
        <v>2532.8656476721194</v>
      </c>
      <c r="CR17" s="271">
        <f t="shared" si="29"/>
        <v>4597.314680796457</v>
      </c>
      <c r="CS17" s="271">
        <f t="shared" si="50"/>
        <v>81615.77602976222</v>
      </c>
      <c r="CT17" s="271">
        <f t="shared" si="51"/>
        <v>1</v>
      </c>
      <c r="CU17" s="272">
        <f t="shared" si="52"/>
        <v>2009</v>
      </c>
      <c r="CV17" s="273">
        <f t="shared" si="30"/>
        <v>5065.731295344239</v>
      </c>
      <c r="CW17" s="273">
        <f t="shared" si="31"/>
        <v>0</v>
      </c>
      <c r="CX17" s="273">
        <f t="shared" si="32"/>
        <v>13530.180328468576</v>
      </c>
      <c r="CY17" s="273">
        <f>IF(CT16=0,0,IF(CT17&gt;0,0,IF(AND(SUM(CT$7:CT16)&gt;0,SUM(CT17:CT$100)=0),CB$42,0)))</f>
        <v>0</v>
      </c>
      <c r="CZ17" s="273">
        <f>IF(CT16=0,0,IF(CT17&gt;0,0,IF(AND(SUM(CT$7:CT16)&gt;0,SUM(CT17:CT$100)=0),CB$41,0)))</f>
        <v>0</v>
      </c>
      <c r="DA17" s="273">
        <f>IF(SUM(CT$7:CT$100)=0,0,IF(SUM(CT17:CT$100)=0,CZ17-CY17,CM17-SUM(CN17:CR17)-CY17+CZ17))</f>
        <v>81615.77602976222</v>
      </c>
      <c r="DB17" s="274">
        <f t="shared" si="53"/>
        <v>2009</v>
      </c>
      <c r="DC17" s="275">
        <f t="shared" si="55"/>
        <v>50993.52998087989</v>
      </c>
      <c r="DD17" s="275">
        <f t="shared" si="56"/>
        <v>25125.36972773612</v>
      </c>
      <c r="DE17" s="275">
        <f t="shared" si="57"/>
        <v>0</v>
      </c>
      <c r="DF17" s="275">
        <f t="shared" si="58"/>
        <v>0</v>
      </c>
      <c r="DG17" s="360">
        <f t="shared" si="59"/>
        <v>3484.4184102044833</v>
      </c>
      <c r="DH17" s="175"/>
      <c r="DI17" s="205"/>
      <c r="DJ17" s="37"/>
      <c r="DK17" s="37"/>
      <c r="DL17" s="37"/>
      <c r="DM17" s="37"/>
      <c r="DN17" s="37"/>
    </row>
    <row r="18" spans="1:118" ht="15">
      <c r="A18" s="386" t="s">
        <v>225</v>
      </c>
      <c r="B18" s="9"/>
      <c r="C18" s="9"/>
      <c r="D18" s="277" t="s">
        <v>226</v>
      </c>
      <c r="E18" s="236">
        <v>12</v>
      </c>
      <c r="F18" s="238">
        <f t="shared" si="0"/>
        <v>12</v>
      </c>
      <c r="G18" s="452">
        <v>1</v>
      </c>
      <c r="H18" s="239">
        <f t="shared" si="1"/>
        <v>12</v>
      </c>
      <c r="I18" s="453">
        <v>2</v>
      </c>
      <c r="J18" s="240">
        <f t="shared" si="2"/>
        <v>12</v>
      </c>
      <c r="K18" s="451">
        <v>0.5937456879500513</v>
      </c>
      <c r="L18" s="241">
        <f t="shared" si="3"/>
        <v>12</v>
      </c>
      <c r="M18" s="454">
        <v>1193.6828873185382</v>
      </c>
      <c r="N18" s="242">
        <f t="shared" si="4"/>
        <v>12</v>
      </c>
      <c r="O18" s="454">
        <v>23.901368019742353</v>
      </c>
      <c r="P18" s="243">
        <f t="shared" si="5"/>
        <v>12</v>
      </c>
      <c r="Q18" s="454">
        <v>300.88485685963786</v>
      </c>
      <c r="R18" s="244">
        <f t="shared" si="6"/>
        <v>12</v>
      </c>
      <c r="S18" s="457">
        <v>35.71475722277077</v>
      </c>
      <c r="T18" s="245">
        <f t="shared" si="7"/>
        <v>12</v>
      </c>
      <c r="U18" s="455">
        <v>243.895274832752</v>
      </c>
      <c r="V18" s="246">
        <f t="shared" si="8"/>
        <v>12</v>
      </c>
      <c r="W18" s="455">
        <v>1647.705682284634</v>
      </c>
      <c r="X18" s="247">
        <f t="shared" si="9"/>
        <v>12</v>
      </c>
      <c r="Y18" s="248">
        <f t="shared" si="10"/>
        <v>0</v>
      </c>
      <c r="Z18" s="249">
        <f t="shared" si="11"/>
        <v>0</v>
      </c>
      <c r="AA18" s="249">
        <f t="shared" si="12"/>
        <v>0</v>
      </c>
      <c r="AB18" s="250">
        <f t="shared" si="13"/>
        <v>10746.029614750101</v>
      </c>
      <c r="AC18" s="250">
        <f t="shared" si="14"/>
        <v>17706.2940582227</v>
      </c>
      <c r="AD18" s="250">
        <f t="shared" si="54"/>
        <v>423.20465055135804</v>
      </c>
      <c r="AE18" s="239">
        <f t="shared" si="15"/>
        <v>12</v>
      </c>
      <c r="AF18" s="251">
        <f t="shared" si="16"/>
        <v>0</v>
      </c>
      <c r="AG18" s="251">
        <f t="shared" si="17"/>
        <v>0</v>
      </c>
      <c r="AH18" s="251">
        <f t="shared" si="33"/>
        <v>0</v>
      </c>
      <c r="AI18" s="251">
        <f t="shared" si="18"/>
        <v>0</v>
      </c>
      <c r="AJ18" s="251">
        <f t="shared" si="19"/>
        <v>0</v>
      </c>
      <c r="AK18" s="251">
        <f t="shared" si="34"/>
        <v>0</v>
      </c>
      <c r="AL18" s="245">
        <f t="shared" si="20"/>
        <v>12</v>
      </c>
      <c r="AM18" s="252">
        <f t="shared" si="35"/>
        <v>10746.029614750101</v>
      </c>
      <c r="AN18" s="252">
        <f t="shared" si="21"/>
        <v>423.20465055135804</v>
      </c>
      <c r="AO18" s="252">
        <f t="shared" si="22"/>
        <v>17706.2940582227</v>
      </c>
      <c r="AP18" s="252">
        <f t="shared" si="23"/>
        <v>3573.79078190771</v>
      </c>
      <c r="AQ18" s="252">
        <f t="shared" si="24"/>
        <v>3573.7907819077095</v>
      </c>
      <c r="AR18" s="252">
        <f t="shared" si="36"/>
        <v>3573.7907819077095</v>
      </c>
      <c r="AS18" s="396" t="s">
        <v>227</v>
      </c>
      <c r="AT18" s="293">
        <f>SUM(AD7:AD100)</f>
        <v>423.20465055135804</v>
      </c>
      <c r="AU18" s="311"/>
      <c r="AV18" s="37"/>
      <c r="AW18" s="196" t="s">
        <v>228</v>
      </c>
      <c r="AX18" s="314" t="s">
        <v>229</v>
      </c>
      <c r="AY18" s="412" t="s">
        <v>230</v>
      </c>
      <c r="AZ18" s="415" t="s">
        <v>231</v>
      </c>
      <c r="BA18" s="131"/>
      <c r="BB18" s="131"/>
      <c r="BC18" s="131"/>
      <c r="BD18" s="131"/>
      <c r="BE18" s="257">
        <f t="shared" si="37"/>
        <v>2010</v>
      </c>
      <c r="BF18" s="258">
        <v>0</v>
      </c>
      <c r="BG18" s="259"/>
      <c r="BH18" s="260"/>
      <c r="BI18" s="261"/>
      <c r="BJ18" s="262"/>
      <c r="BK18" s="263">
        <v>5670</v>
      </c>
      <c r="BL18" s="264">
        <f t="shared" si="38"/>
        <v>2010</v>
      </c>
      <c r="BM18" s="258">
        <v>0</v>
      </c>
      <c r="BN18" s="259"/>
      <c r="BO18" s="260"/>
      <c r="BP18" s="261"/>
      <c r="BQ18" s="262"/>
      <c r="BR18" s="263">
        <v>7232</v>
      </c>
      <c r="BS18" s="265">
        <f t="shared" si="39"/>
        <v>2010</v>
      </c>
      <c r="BT18" s="301">
        <v>0</v>
      </c>
      <c r="BU18" s="259"/>
      <c r="BV18" s="260"/>
      <c r="BW18" s="261"/>
      <c r="BX18" s="262"/>
      <c r="BY18" s="263">
        <v>7473</v>
      </c>
      <c r="BZ18" s="368" t="s">
        <v>232</v>
      </c>
      <c r="CA18" s="375" t="s">
        <v>233</v>
      </c>
      <c r="CB18" s="370">
        <f>IF(CB4&lt;AW36,1+BB7,IF(CB4&lt;AW38,1+BC7,1+BD7))</f>
        <v>1.0171946875208964</v>
      </c>
      <c r="CC18" s="266">
        <f t="shared" si="40"/>
        <v>2010</v>
      </c>
      <c r="CD18" s="267">
        <f t="shared" si="60"/>
        <v>7473</v>
      </c>
      <c r="CE18" s="267">
        <f t="shared" si="41"/>
        <v>4341.8063963880595</v>
      </c>
      <c r="CF18" s="267">
        <f t="shared" si="42"/>
        <v>0</v>
      </c>
      <c r="CG18" s="267">
        <f t="shared" si="43"/>
        <v>4341.8063963880595</v>
      </c>
      <c r="CH18" s="267">
        <f t="shared" si="44"/>
        <v>3017.8536457797227</v>
      </c>
      <c r="CI18" s="267">
        <f t="shared" si="45"/>
        <v>7440.614458418853</v>
      </c>
      <c r="CJ18" s="269">
        <f t="shared" si="25"/>
        <v>20.786611404752573</v>
      </c>
      <c r="CK18" s="269">
        <f t="shared" si="46"/>
        <v>2.7103094452646572</v>
      </c>
      <c r="CL18" s="270">
        <f t="shared" si="47"/>
        <v>2010</v>
      </c>
      <c r="CM18" s="271">
        <f t="shared" si="26"/>
        <v>82897.31865646431</v>
      </c>
      <c r="CN18" s="271">
        <f t="shared" si="48"/>
        <v>0</v>
      </c>
      <c r="CO18" s="271">
        <f t="shared" si="49"/>
        <v>0</v>
      </c>
      <c r="CP18" s="271">
        <f t="shared" si="27"/>
        <v>6400</v>
      </c>
      <c r="CQ18" s="271">
        <f t="shared" si="28"/>
        <v>2170.9031981940298</v>
      </c>
      <c r="CR18" s="271">
        <f t="shared" si="29"/>
        <v>3940.329465488235</v>
      </c>
      <c r="CS18" s="271">
        <f t="shared" si="50"/>
        <v>70386.08599278204</v>
      </c>
      <c r="CT18" s="271">
        <f t="shared" si="51"/>
        <v>1</v>
      </c>
      <c r="CU18" s="272">
        <f t="shared" si="52"/>
        <v>2010</v>
      </c>
      <c r="CV18" s="273">
        <f t="shared" si="30"/>
        <v>4341.8063963880595</v>
      </c>
      <c r="CW18" s="273">
        <f t="shared" si="31"/>
        <v>0</v>
      </c>
      <c r="CX18" s="273">
        <f t="shared" si="32"/>
        <v>12511.232663682265</v>
      </c>
      <c r="CY18" s="273">
        <f>IF(CT17=0,0,IF(CT18&gt;0,0,IF(AND(SUM(CT$7:CT17)&gt;0,SUM(CT18:CT$100)=0),CB$42,0)))</f>
        <v>0</v>
      </c>
      <c r="CZ18" s="273">
        <f>IF(CT17=0,0,IF(CT18&gt;0,0,IF(AND(SUM(CT$7:CT17)&gt;0,SUM(CT18:CT$100)=0),CB$41,0)))</f>
        <v>0</v>
      </c>
      <c r="DA18" s="273">
        <f>IF(SUM(CT$7:CT$100)=0,0,IF(SUM(CT18:CT$100)=0,CZ18-CY18,CM18-SUM(CN18:CR18)-CY18+CZ18))</f>
        <v>70386.08599278204</v>
      </c>
      <c r="DB18" s="274">
        <f t="shared" si="53"/>
        <v>2010</v>
      </c>
      <c r="DC18" s="275">
        <f t="shared" si="55"/>
        <v>41883.067231195026</v>
      </c>
      <c r="DD18" s="275">
        <f t="shared" si="56"/>
        <v>19175.5009788423</v>
      </c>
      <c r="DE18" s="275">
        <f t="shared" si="57"/>
        <v>0</v>
      </c>
      <c r="DF18" s="275">
        <f t="shared" si="58"/>
        <v>0</v>
      </c>
      <c r="DG18" s="360">
        <f t="shared" si="59"/>
        <v>2688.8123592943934</v>
      </c>
      <c r="DH18" s="175" t="s">
        <v>234</v>
      </c>
      <c r="DI18" s="297">
        <f>IF(SUM(CV7:CV100)=0,0,SUM(CX7:CX100)/SUM(CV7:CV100))</f>
        <v>2.877073393546016</v>
      </c>
      <c r="DJ18" s="37"/>
      <c r="DK18" s="37"/>
      <c r="DL18" s="37"/>
      <c r="DM18" s="37"/>
      <c r="DN18" s="37"/>
    </row>
    <row r="19" spans="1:118" ht="15">
      <c r="A19" s="386" t="s">
        <v>235</v>
      </c>
      <c r="B19" s="9"/>
      <c r="C19" s="9"/>
      <c r="D19" s="277" t="s">
        <v>236</v>
      </c>
      <c r="E19" s="236">
        <v>13</v>
      </c>
      <c r="F19" s="238">
        <f t="shared" si="0"/>
        <v>13</v>
      </c>
      <c r="G19" s="452">
        <v>1</v>
      </c>
      <c r="H19" s="239">
        <f t="shared" si="1"/>
        <v>13</v>
      </c>
      <c r="I19" s="453">
        <v>1</v>
      </c>
      <c r="J19" s="240">
        <f t="shared" si="2"/>
        <v>13</v>
      </c>
      <c r="K19" s="451">
        <v>0.5695318142664492</v>
      </c>
      <c r="L19" s="241">
        <f t="shared" si="3"/>
        <v>13</v>
      </c>
      <c r="M19" s="454">
        <v>813.3006208624224</v>
      </c>
      <c r="N19" s="242">
        <f t="shared" si="4"/>
        <v>13</v>
      </c>
      <c r="O19" s="454">
        <v>140.36794580494953</v>
      </c>
      <c r="P19" s="243">
        <f t="shared" si="5"/>
        <v>13</v>
      </c>
      <c r="Q19" s="454">
        <v>165.74360010676844</v>
      </c>
      <c r="R19" s="244">
        <f t="shared" si="6"/>
        <v>13</v>
      </c>
      <c r="S19" s="457">
        <v>45.08232753764475</v>
      </c>
      <c r="T19" s="245">
        <f t="shared" si="7"/>
        <v>13</v>
      </c>
      <c r="U19" s="455">
        <v>301.2687980059492</v>
      </c>
      <c r="V19" s="246">
        <f t="shared" si="8"/>
        <v>13</v>
      </c>
      <c r="W19" s="455">
        <v>1151.8184611175207</v>
      </c>
      <c r="X19" s="247">
        <f t="shared" si="9"/>
        <v>13</v>
      </c>
      <c r="Y19" s="248">
        <f t="shared" si="10"/>
        <v>7472.107267281746</v>
      </c>
      <c r="Z19" s="249">
        <f t="shared" si="11"/>
        <v>2251.1127749854895</v>
      </c>
      <c r="AA19" s="249">
        <f t="shared" si="12"/>
        <v>1830.831417527029</v>
      </c>
      <c r="AB19" s="250">
        <f t="shared" si="13"/>
        <v>0</v>
      </c>
      <c r="AC19" s="250">
        <f t="shared" si="14"/>
        <v>0</v>
      </c>
      <c r="AD19" s="250">
        <f t="shared" si="54"/>
        <v>0</v>
      </c>
      <c r="AE19" s="239">
        <f t="shared" si="15"/>
        <v>13</v>
      </c>
      <c r="AF19" s="251">
        <f t="shared" si="16"/>
        <v>0</v>
      </c>
      <c r="AG19" s="251">
        <f t="shared" si="17"/>
        <v>0</v>
      </c>
      <c r="AH19" s="251">
        <f t="shared" si="33"/>
        <v>0</v>
      </c>
      <c r="AI19" s="251">
        <f t="shared" si="18"/>
        <v>0</v>
      </c>
      <c r="AJ19" s="251">
        <f t="shared" si="19"/>
        <v>0</v>
      </c>
      <c r="AK19" s="251">
        <f t="shared" si="34"/>
        <v>0</v>
      </c>
      <c r="AL19" s="245">
        <f t="shared" si="20"/>
        <v>13</v>
      </c>
      <c r="AM19" s="252">
        <f t="shared" si="35"/>
        <v>7472.107267281746</v>
      </c>
      <c r="AN19" s="252">
        <f t="shared" si="21"/>
        <v>2251.1127749854895</v>
      </c>
      <c r="AO19" s="252">
        <f t="shared" si="22"/>
        <v>1830.831417527029</v>
      </c>
      <c r="AP19" s="252">
        <f t="shared" si="23"/>
        <v>2576.8834898479504</v>
      </c>
      <c r="AQ19" s="252">
        <f t="shared" si="24"/>
        <v>2576.8834898479504</v>
      </c>
      <c r="AR19" s="252">
        <f t="shared" si="36"/>
        <v>2576.8834898479504</v>
      </c>
      <c r="AS19" s="397"/>
      <c r="AT19" s="300"/>
      <c r="AU19" s="313"/>
      <c r="AV19" s="37"/>
      <c r="AW19" s="196"/>
      <c r="AX19" s="314"/>
      <c r="AY19" s="315">
        <v>65</v>
      </c>
      <c r="AZ19" s="316">
        <v>-2.13</v>
      </c>
      <c r="BA19" s="131"/>
      <c r="BB19" s="131"/>
      <c r="BC19" s="131"/>
      <c r="BD19" s="131"/>
      <c r="BE19" s="257">
        <f t="shared" si="37"/>
        <v>2011</v>
      </c>
      <c r="BF19" s="258">
        <v>0</v>
      </c>
      <c r="BG19" s="259"/>
      <c r="BH19" s="260"/>
      <c r="BI19" s="261"/>
      <c r="BJ19" s="262"/>
      <c r="BK19" s="263">
        <v>4095</v>
      </c>
      <c r="BL19" s="264">
        <f t="shared" si="38"/>
        <v>2011</v>
      </c>
      <c r="BM19" s="258">
        <v>0</v>
      </c>
      <c r="BN19" s="259"/>
      <c r="BO19" s="260"/>
      <c r="BP19" s="261"/>
      <c r="BQ19" s="262"/>
      <c r="BR19" s="263">
        <v>5166</v>
      </c>
      <c r="BS19" s="265">
        <f t="shared" si="39"/>
        <v>2011</v>
      </c>
      <c r="BT19" s="301">
        <v>0</v>
      </c>
      <c r="BU19" s="259"/>
      <c r="BV19" s="260"/>
      <c r="BW19" s="261"/>
      <c r="BX19" s="262"/>
      <c r="BY19" s="263">
        <v>6474</v>
      </c>
      <c r="BZ19" s="376" t="s">
        <v>237</v>
      </c>
      <c r="CA19" s="376" t="s">
        <v>140</v>
      </c>
      <c r="CB19" s="377">
        <f>SUM(AR7:AR100)/SUM(AQ7:AQ100)</f>
        <v>0.8265765149620218</v>
      </c>
      <c r="CC19" s="266">
        <f t="shared" si="40"/>
        <v>2011</v>
      </c>
      <c r="CD19" s="267">
        <f t="shared" si="60"/>
        <v>6474</v>
      </c>
      <c r="CE19" s="267">
        <f t="shared" si="41"/>
        <v>3761.388279167175</v>
      </c>
      <c r="CF19" s="267">
        <f t="shared" si="42"/>
        <v>0</v>
      </c>
      <c r="CG19" s="267">
        <f t="shared" si="43"/>
        <v>3761.388279167175</v>
      </c>
      <c r="CH19" s="267">
        <f t="shared" si="44"/>
        <v>2614.423190522939</v>
      </c>
      <c r="CI19" s="267">
        <f t="shared" si="45"/>
        <v>6445.943798180606</v>
      </c>
      <c r="CJ19" s="269">
        <f t="shared" si="25"/>
        <v>21.16077041003812</v>
      </c>
      <c r="CK19" s="269">
        <f t="shared" si="46"/>
        <v>2.7428331586078327</v>
      </c>
      <c r="CL19" s="270">
        <f t="shared" si="47"/>
        <v>2011</v>
      </c>
      <c r="CM19" s="271">
        <f t="shared" si="26"/>
        <v>73003.35727750754</v>
      </c>
      <c r="CN19" s="271">
        <f t="shared" si="48"/>
        <v>0</v>
      </c>
      <c r="CO19" s="271">
        <f t="shared" si="49"/>
        <v>0</v>
      </c>
      <c r="CP19" s="271">
        <f t="shared" si="27"/>
        <v>6400</v>
      </c>
      <c r="CQ19" s="271">
        <f t="shared" si="28"/>
        <v>1880.6941395835875</v>
      </c>
      <c r="CR19" s="271">
        <f t="shared" si="29"/>
        <v>3413.5812872435213</v>
      </c>
      <c r="CS19" s="271">
        <f t="shared" si="50"/>
        <v>61309.081850680435</v>
      </c>
      <c r="CT19" s="271">
        <f t="shared" si="51"/>
        <v>1</v>
      </c>
      <c r="CU19" s="272">
        <f t="shared" si="52"/>
        <v>2011</v>
      </c>
      <c r="CV19" s="273">
        <f t="shared" si="30"/>
        <v>3761.388279167175</v>
      </c>
      <c r="CW19" s="273">
        <f t="shared" si="31"/>
        <v>0</v>
      </c>
      <c r="CX19" s="273">
        <f t="shared" si="32"/>
        <v>11694.27542682711</v>
      </c>
      <c r="CY19" s="273">
        <f>IF(CT18=0,0,IF(CT19&gt;0,0,IF(AND(SUM(CT$7:CT18)&gt;0,SUM(CT19:CT$100)=0),CB$42,0)))</f>
        <v>0</v>
      </c>
      <c r="CZ19" s="273">
        <f>IF(CT18=0,0,IF(CT19&gt;0,0,IF(AND(SUM(CT$7:CT18)&gt;0,SUM(CT19:CT$100)=0),CB$41,0)))</f>
        <v>0</v>
      </c>
      <c r="DA19" s="273">
        <f>IF(SUM(CT$7:CT$100)=0,0,IF(SUM(CT19:CT$100)=0,CZ19-CY19,CM19-SUM(CN19:CR19)-CY19+CZ19))</f>
        <v>61309.081850680435</v>
      </c>
      <c r="DB19" s="274">
        <f t="shared" si="53"/>
        <v>2011</v>
      </c>
      <c r="DC19" s="275">
        <f t="shared" si="55"/>
        <v>34744.58881652387</v>
      </c>
      <c r="DD19" s="275">
        <f t="shared" si="56"/>
        <v>14781.083561399399</v>
      </c>
      <c r="DE19" s="275">
        <f t="shared" si="57"/>
        <v>0</v>
      </c>
      <c r="DF19" s="275">
        <f t="shared" si="58"/>
        <v>0</v>
      </c>
      <c r="DG19" s="360">
        <f t="shared" si="59"/>
        <v>2097.1858142411206</v>
      </c>
      <c r="DH19" s="175"/>
      <c r="DI19" s="205"/>
      <c r="DJ19" s="37"/>
      <c r="DK19" s="37"/>
      <c r="DL19" s="37"/>
      <c r="DM19" s="37"/>
      <c r="DN19" s="37"/>
    </row>
    <row r="20" spans="1:118" ht="15">
      <c r="A20" s="387"/>
      <c r="B20" s="9"/>
      <c r="C20" s="9"/>
      <c r="D20" s="277" t="s">
        <v>238</v>
      </c>
      <c r="E20" s="236">
        <v>14</v>
      </c>
      <c r="F20" s="238">
        <f t="shared" si="0"/>
        <v>14</v>
      </c>
      <c r="G20" s="452">
        <v>1</v>
      </c>
      <c r="H20" s="239">
        <f t="shared" si="1"/>
        <v>14</v>
      </c>
      <c r="I20" s="453">
        <v>3</v>
      </c>
      <c r="J20" s="240">
        <f t="shared" si="2"/>
        <v>14</v>
      </c>
      <c r="K20" s="451">
        <v>0.268305610175147</v>
      </c>
      <c r="L20" s="241">
        <f t="shared" si="3"/>
        <v>14</v>
      </c>
      <c r="M20" s="454">
        <v>360.1666991861892</v>
      </c>
      <c r="N20" s="242">
        <f t="shared" si="4"/>
        <v>14</v>
      </c>
      <c r="O20" s="454">
        <v>80.18845434061198</v>
      </c>
      <c r="P20" s="243">
        <f t="shared" si="5"/>
        <v>14</v>
      </c>
      <c r="Q20" s="454">
        <v>126.36900202691436</v>
      </c>
      <c r="R20" s="244">
        <f t="shared" si="6"/>
        <v>14</v>
      </c>
      <c r="S20" s="457">
        <v>61.813478760921</v>
      </c>
      <c r="T20" s="245">
        <f t="shared" si="7"/>
        <v>14</v>
      </c>
      <c r="U20" s="455">
        <v>294.71885786929226</v>
      </c>
      <c r="V20" s="246">
        <f t="shared" si="8"/>
        <v>14</v>
      </c>
      <c r="W20" s="455">
        <v>967.1794344693329</v>
      </c>
      <c r="X20" s="247">
        <f t="shared" si="9"/>
        <v>14</v>
      </c>
      <c r="Y20" s="248">
        <f t="shared" si="10"/>
        <v>0</v>
      </c>
      <c r="Z20" s="249">
        <f t="shared" si="11"/>
        <v>0</v>
      </c>
      <c r="AA20" s="249">
        <f t="shared" si="12"/>
        <v>0</v>
      </c>
      <c r="AB20" s="250">
        <f t="shared" si="13"/>
        <v>0</v>
      </c>
      <c r="AC20" s="250">
        <f t="shared" si="14"/>
        <v>0</v>
      </c>
      <c r="AD20" s="250">
        <f t="shared" si="54"/>
        <v>0</v>
      </c>
      <c r="AE20" s="239">
        <f t="shared" si="15"/>
        <v>14</v>
      </c>
      <c r="AF20" s="251">
        <f t="shared" si="16"/>
        <v>2095.8176580090335</v>
      </c>
      <c r="AG20" s="251">
        <f t="shared" si="17"/>
        <v>617.6769864707173</v>
      </c>
      <c r="AH20" s="251">
        <f t="shared" si="33"/>
        <v>222.4666813804307</v>
      </c>
      <c r="AI20" s="251">
        <f t="shared" si="18"/>
        <v>5715.48996482042</v>
      </c>
      <c r="AJ20" s="251">
        <f t="shared" si="19"/>
        <v>5527.904351890162</v>
      </c>
      <c r="AK20" s="251">
        <f t="shared" si="34"/>
        <v>443.27410572081453</v>
      </c>
      <c r="AL20" s="245">
        <f t="shared" si="20"/>
        <v>14</v>
      </c>
      <c r="AM20" s="252">
        <f t="shared" si="35"/>
        <v>7811.307622829454</v>
      </c>
      <c r="AN20" s="252">
        <f t="shared" si="21"/>
        <v>1060.9510921915319</v>
      </c>
      <c r="AO20" s="252">
        <f t="shared" si="22"/>
        <v>5750.371033270592</v>
      </c>
      <c r="AP20" s="252">
        <f t="shared" si="23"/>
        <v>2084.1487849443065</v>
      </c>
      <c r="AQ20" s="252">
        <f t="shared" si="24"/>
        <v>2084.1487849443065</v>
      </c>
      <c r="AR20" s="252">
        <f t="shared" si="36"/>
        <v>2084.1487849443065</v>
      </c>
      <c r="AS20" s="396" t="s">
        <v>239</v>
      </c>
      <c r="AT20" s="293">
        <f>SUM(AG7:AG100)</f>
        <v>6515.555469366876</v>
      </c>
      <c r="AU20" s="311"/>
      <c r="AV20" s="402" t="s">
        <v>240</v>
      </c>
      <c r="AW20" s="317">
        <v>62682</v>
      </c>
      <c r="AX20" s="318">
        <v>0.7297</v>
      </c>
      <c r="AY20" s="315">
        <v>45</v>
      </c>
      <c r="AZ20" s="316">
        <v>0.87</v>
      </c>
      <c r="BA20" s="131"/>
      <c r="BB20" s="131"/>
      <c r="BC20" s="131"/>
      <c r="BD20" s="131"/>
      <c r="BE20" s="257">
        <f t="shared" si="37"/>
        <v>2012</v>
      </c>
      <c r="BF20" s="258">
        <v>0</v>
      </c>
      <c r="BG20" s="259"/>
      <c r="BH20" s="260"/>
      <c r="BI20" s="261"/>
      <c r="BJ20" s="262"/>
      <c r="BK20" s="263">
        <v>1476</v>
      </c>
      <c r="BL20" s="264">
        <f t="shared" si="38"/>
        <v>2012</v>
      </c>
      <c r="BM20" s="258">
        <v>0</v>
      </c>
      <c r="BN20" s="259"/>
      <c r="BO20" s="260"/>
      <c r="BP20" s="261"/>
      <c r="BQ20" s="262"/>
      <c r="BR20" s="263">
        <v>1033</v>
      </c>
      <c r="BS20" s="265">
        <f t="shared" si="39"/>
        <v>2012</v>
      </c>
      <c r="BT20" s="301">
        <v>0</v>
      </c>
      <c r="BU20" s="259"/>
      <c r="BV20" s="260"/>
      <c r="BW20" s="261"/>
      <c r="BX20" s="262"/>
      <c r="BY20" s="263">
        <v>3737</v>
      </c>
      <c r="BZ20" s="368" t="s">
        <v>241</v>
      </c>
      <c r="CA20" s="368" t="s">
        <v>242</v>
      </c>
      <c r="CB20" s="369">
        <f>AX45</f>
        <v>7990.916065921025</v>
      </c>
      <c r="CC20" s="266">
        <f t="shared" si="40"/>
        <v>2012</v>
      </c>
      <c r="CD20" s="267">
        <f t="shared" si="60"/>
        <v>3737</v>
      </c>
      <c r="CE20" s="267">
        <f t="shared" si="41"/>
        <v>2171.1936977521987</v>
      </c>
      <c r="CF20" s="267">
        <f t="shared" si="42"/>
        <v>0</v>
      </c>
      <c r="CG20" s="267">
        <f t="shared" si="43"/>
        <v>2171.1936977521987</v>
      </c>
      <c r="CH20" s="267">
        <f t="shared" si="44"/>
        <v>1509.1287400346346</v>
      </c>
      <c r="CI20" s="267">
        <f t="shared" si="45"/>
        <v>3720.8050623727104</v>
      </c>
      <c r="CJ20" s="269">
        <f t="shared" si="25"/>
        <v>21.308895802908385</v>
      </c>
      <c r="CK20" s="269">
        <f t="shared" si="46"/>
        <v>2.7757471565111276</v>
      </c>
      <c r="CL20" s="270">
        <f t="shared" si="47"/>
        <v>2012</v>
      </c>
      <c r="CM20" s="271">
        <f t="shared" si="26"/>
        <v>42485.881146385706</v>
      </c>
      <c r="CN20" s="271">
        <f t="shared" si="48"/>
        <v>0</v>
      </c>
      <c r="CO20" s="271">
        <f t="shared" si="49"/>
        <v>0</v>
      </c>
      <c r="CP20" s="271">
        <f t="shared" si="27"/>
        <v>6400</v>
      </c>
      <c r="CQ20" s="271">
        <f t="shared" si="28"/>
        <v>1085.5968488760993</v>
      </c>
      <c r="CR20" s="271">
        <f t="shared" si="29"/>
        <v>1970.428370470967</v>
      </c>
      <c r="CS20" s="271">
        <f t="shared" si="50"/>
        <v>33029.85592703864</v>
      </c>
      <c r="CT20" s="271">
        <f t="shared" si="51"/>
        <v>1</v>
      </c>
      <c r="CU20" s="272">
        <f t="shared" si="52"/>
        <v>2012</v>
      </c>
      <c r="CV20" s="273">
        <f t="shared" si="30"/>
        <v>2171.1936977521987</v>
      </c>
      <c r="CW20" s="273">
        <f t="shared" si="31"/>
        <v>0</v>
      </c>
      <c r="CX20" s="273">
        <f t="shared" si="32"/>
        <v>9456.025219347066</v>
      </c>
      <c r="CY20" s="273">
        <f>IF(CT19=0,0,IF(CT20&gt;0,0,IF(AND(SUM(CT$7:CT19)&gt;0,SUM(CT20:CT$100)=0),CB$42,0)))</f>
        <v>0</v>
      </c>
      <c r="CZ20" s="273">
        <f>IF(CT19=0,0,IF(CT20&gt;0,0,IF(AND(SUM(CT$7:CT19)&gt;0,SUM(CT20:CT$100)=0),CB$41,0)))</f>
        <v>0</v>
      </c>
      <c r="DA20" s="273">
        <f>IF(SUM(CT$7:CT$100)=0,0,IF(SUM(CT20:CT$100)=0,CZ20-CY20,CM20-SUM(CN20:CR20)-CY20+CZ20))</f>
        <v>33029.85592703864</v>
      </c>
      <c r="DB20" s="274">
        <f t="shared" si="53"/>
        <v>2012</v>
      </c>
      <c r="DC20" s="275">
        <f t="shared" si="55"/>
        <v>17827.06074753379</v>
      </c>
      <c r="DD20" s="275">
        <f t="shared" si="56"/>
        <v>7047.088016274283</v>
      </c>
      <c r="DE20" s="275">
        <f t="shared" si="57"/>
        <v>0</v>
      </c>
      <c r="DF20" s="275">
        <f t="shared" si="58"/>
        <v>0</v>
      </c>
      <c r="DG20" s="360">
        <f t="shared" si="59"/>
        <v>1080.5222794559202</v>
      </c>
      <c r="DH20" s="175" t="s">
        <v>195</v>
      </c>
      <c r="DI20" s="176">
        <f>SUM(CZ7:CZ100)</f>
        <v>35999.76591220113</v>
      </c>
      <c r="DJ20" s="37"/>
      <c r="DK20" s="37"/>
      <c r="DL20" s="37"/>
      <c r="DM20" s="37"/>
      <c r="DN20" s="37"/>
    </row>
    <row r="21" spans="1:118" ht="15">
      <c r="A21" s="386" t="s">
        <v>243</v>
      </c>
      <c r="B21" s="9"/>
      <c r="C21" s="9"/>
      <c r="D21" s="277" t="s">
        <v>244</v>
      </c>
      <c r="E21" s="236">
        <v>15</v>
      </c>
      <c r="F21" s="238">
        <f t="shared" si="0"/>
        <v>15</v>
      </c>
      <c r="G21" s="452">
        <v>1</v>
      </c>
      <c r="H21" s="239">
        <f t="shared" si="1"/>
        <v>15</v>
      </c>
      <c r="I21" s="453">
        <v>1</v>
      </c>
      <c r="J21" s="240">
        <f t="shared" si="2"/>
        <v>15</v>
      </c>
      <c r="K21" s="451">
        <v>0.27125372481263177</v>
      </c>
      <c r="L21" s="241">
        <f t="shared" si="3"/>
        <v>15</v>
      </c>
      <c r="M21" s="454">
        <v>300.8683781495362</v>
      </c>
      <c r="N21" s="242">
        <f t="shared" si="4"/>
        <v>15</v>
      </c>
      <c r="O21" s="454">
        <v>79.41681489417785</v>
      </c>
      <c r="P21" s="243">
        <f t="shared" si="5"/>
        <v>15</v>
      </c>
      <c r="Q21" s="454">
        <v>210.1740961361652</v>
      </c>
      <c r="R21" s="244">
        <f t="shared" si="6"/>
        <v>15</v>
      </c>
      <c r="S21" s="457">
        <v>75.56968329571218</v>
      </c>
      <c r="T21" s="245">
        <f t="shared" si="7"/>
        <v>15</v>
      </c>
      <c r="U21" s="455">
        <v>211.30453087561125</v>
      </c>
      <c r="V21" s="246">
        <f t="shared" si="8"/>
        <v>15</v>
      </c>
      <c r="W21" s="455">
        <v>811.0087344386541</v>
      </c>
      <c r="X21" s="247">
        <f t="shared" si="9"/>
        <v>15</v>
      </c>
      <c r="Y21" s="248">
        <f t="shared" si="10"/>
        <v>15882.789881972569</v>
      </c>
      <c r="Z21" s="249">
        <f t="shared" si="11"/>
        <v>3356.1054650061183</v>
      </c>
      <c r="AA21" s="249">
        <f t="shared" si="12"/>
        <v>1009.7460081551859</v>
      </c>
      <c r="AB21" s="250">
        <f t="shared" si="13"/>
        <v>0</v>
      </c>
      <c r="AC21" s="250">
        <f t="shared" si="14"/>
        <v>0</v>
      </c>
      <c r="AD21" s="250">
        <f t="shared" si="54"/>
        <v>0</v>
      </c>
      <c r="AE21" s="239">
        <f t="shared" si="15"/>
        <v>15</v>
      </c>
      <c r="AF21" s="251">
        <f t="shared" si="16"/>
        <v>0</v>
      </c>
      <c r="AG21" s="251">
        <f t="shared" si="17"/>
        <v>0</v>
      </c>
      <c r="AH21" s="251">
        <f t="shared" si="33"/>
        <v>0</v>
      </c>
      <c r="AI21" s="251">
        <f t="shared" si="18"/>
        <v>0</v>
      </c>
      <c r="AJ21" s="251">
        <f t="shared" si="19"/>
        <v>0</v>
      </c>
      <c r="AK21" s="251">
        <f t="shared" si="34"/>
        <v>0</v>
      </c>
      <c r="AL21" s="245">
        <f t="shared" si="20"/>
        <v>15</v>
      </c>
      <c r="AM21" s="252">
        <f t="shared" si="35"/>
        <v>15882.789881972569</v>
      </c>
      <c r="AN21" s="252">
        <f t="shared" si="21"/>
        <v>3356.1054650061183</v>
      </c>
      <c r="AO21" s="252">
        <f t="shared" si="22"/>
        <v>1009.7460081551859</v>
      </c>
      <c r="AP21" s="252">
        <f t="shared" si="23"/>
        <v>3535.7755732187848</v>
      </c>
      <c r="AQ21" s="252">
        <f t="shared" si="24"/>
        <v>3535.7755732187848</v>
      </c>
      <c r="AR21" s="252">
        <f t="shared" si="36"/>
        <v>3535.7755732187848</v>
      </c>
      <c r="AS21" s="397"/>
      <c r="AT21" s="300"/>
      <c r="AU21" s="313"/>
      <c r="AV21" s="401"/>
      <c r="AW21" s="319"/>
      <c r="AX21" s="320"/>
      <c r="AY21" s="315">
        <v>41</v>
      </c>
      <c r="AZ21" s="316">
        <v>0.87</v>
      </c>
      <c r="BA21" s="131"/>
      <c r="BB21" s="131"/>
      <c r="BC21" s="131"/>
      <c r="BD21" s="131"/>
      <c r="BE21" s="257">
        <f t="shared" si="37"/>
        <v>2013</v>
      </c>
      <c r="BF21" s="258">
        <v>0</v>
      </c>
      <c r="BG21" s="259"/>
      <c r="BH21" s="260"/>
      <c r="BI21" s="261"/>
      <c r="BJ21" s="262"/>
      <c r="BK21" s="263">
        <v>450</v>
      </c>
      <c r="BL21" s="264">
        <f t="shared" si="38"/>
        <v>2013</v>
      </c>
      <c r="BM21" s="258">
        <v>0</v>
      </c>
      <c r="BN21" s="259"/>
      <c r="BO21" s="260"/>
      <c r="BP21" s="261"/>
      <c r="BQ21" s="262"/>
      <c r="BR21" s="263">
        <v>620</v>
      </c>
      <c r="BS21" s="265">
        <f t="shared" si="39"/>
        <v>2013</v>
      </c>
      <c r="BT21" s="301">
        <v>0</v>
      </c>
      <c r="BU21" s="259"/>
      <c r="BV21" s="260"/>
      <c r="BW21" s="261"/>
      <c r="BX21" s="262"/>
      <c r="BY21" s="263">
        <v>1868</v>
      </c>
      <c r="BZ21" s="368" t="s">
        <v>245</v>
      </c>
      <c r="CA21" s="368" t="s">
        <v>242</v>
      </c>
      <c r="CB21" s="369">
        <f>AX47*CB19</f>
        <v>4533.787234720345</v>
      </c>
      <c r="CC21" s="266">
        <f t="shared" si="40"/>
        <v>2013</v>
      </c>
      <c r="CD21" s="267">
        <f t="shared" si="60"/>
        <v>1868</v>
      </c>
      <c r="CE21" s="267">
        <f t="shared" si="41"/>
        <v>1085.3063493179307</v>
      </c>
      <c r="CF21" s="267">
        <f t="shared" si="42"/>
        <v>0</v>
      </c>
      <c r="CG21" s="267">
        <f t="shared" si="43"/>
        <v>1085.3063493179307</v>
      </c>
      <c r="CH21" s="267">
        <f t="shared" si="44"/>
        <v>754.362452872544</v>
      </c>
      <c r="CI21" s="267">
        <f t="shared" si="45"/>
        <v>1859.9046980230728</v>
      </c>
      <c r="CJ21" s="269">
        <f t="shared" si="25"/>
        <v>21.45805807352874</v>
      </c>
      <c r="CK21" s="269">
        <f t="shared" si="46"/>
        <v>2.809056122389261</v>
      </c>
      <c r="CL21" s="270">
        <f t="shared" si="47"/>
        <v>2013</v>
      </c>
      <c r="CM21" s="271">
        <f t="shared" si="26"/>
        <v>21411.730001270902</v>
      </c>
      <c r="CN21" s="271">
        <f t="shared" si="48"/>
        <v>0</v>
      </c>
      <c r="CO21" s="271">
        <f t="shared" si="49"/>
        <v>0</v>
      </c>
      <c r="CP21" s="271">
        <f t="shared" si="27"/>
        <v>6400</v>
      </c>
      <c r="CQ21" s="271">
        <f t="shared" si="28"/>
        <v>542.6531746589653</v>
      </c>
      <c r="CR21" s="271">
        <f t="shared" si="29"/>
        <v>984.9505475086343</v>
      </c>
      <c r="CS21" s="271">
        <f t="shared" si="50"/>
        <v>13484.126279103304</v>
      </c>
      <c r="CT21" s="271">
        <f t="shared" si="51"/>
        <v>1</v>
      </c>
      <c r="CU21" s="272">
        <f t="shared" si="52"/>
        <v>2013</v>
      </c>
      <c r="CV21" s="273">
        <f t="shared" si="30"/>
        <v>1085.3063493179307</v>
      </c>
      <c r="CW21" s="273">
        <f t="shared" si="31"/>
        <v>0</v>
      </c>
      <c r="CX21" s="273">
        <f t="shared" si="32"/>
        <v>7927.6037221676</v>
      </c>
      <c r="CY21" s="273">
        <f>IF(CT20=0,0,IF(CT21&gt;0,0,IF(AND(SUM(CT$7:CT20)&gt;0,SUM(CT21:CT$100)=0),CB$42,0)))</f>
        <v>0</v>
      </c>
      <c r="CZ21" s="273">
        <f>IF(CT20=0,0,IF(CT21&gt;0,0,IF(AND(SUM(CT$7:CT20)&gt;0,SUM(CT21:CT$100)=0),CB$41,0)))</f>
        <v>0</v>
      </c>
      <c r="DA21" s="273">
        <f>IF(SUM(CT$7:CT$100)=0,0,IF(SUM(CT21:CT$100)=0,CZ21-CY21,CM21-SUM(CN21:CR21)-CY21+CZ21))</f>
        <v>13484.126279103302</v>
      </c>
      <c r="DB21" s="274">
        <f t="shared" si="53"/>
        <v>2013</v>
      </c>
      <c r="DC21" s="275">
        <f t="shared" si="55"/>
        <v>6931.170417339255</v>
      </c>
      <c r="DD21" s="275">
        <f t="shared" si="56"/>
        <v>2545.935424645157</v>
      </c>
      <c r="DE21" s="275">
        <f t="shared" si="57"/>
        <v>0</v>
      </c>
      <c r="DF21" s="275">
        <f t="shared" si="58"/>
        <v>0</v>
      </c>
      <c r="DG21" s="360">
        <f t="shared" si="59"/>
        <v>482.09706311617964</v>
      </c>
      <c r="DH21" s="175"/>
      <c r="DI21" s="205"/>
      <c r="DJ21" s="37"/>
      <c r="DK21" s="37"/>
      <c r="DL21" s="37"/>
      <c r="DM21" s="37"/>
      <c r="DN21" s="37"/>
    </row>
    <row r="22" spans="1:118" ht="15">
      <c r="A22" s="386"/>
      <c r="B22" s="9"/>
      <c r="C22" s="9"/>
      <c r="D22" s="237"/>
      <c r="E22" s="237"/>
      <c r="F22" s="238">
        <f t="shared" si="0"/>
        <v>0</v>
      </c>
      <c r="G22" s="321"/>
      <c r="H22" s="239">
        <f t="shared" si="1"/>
        <v>0</v>
      </c>
      <c r="I22" s="322"/>
      <c r="J22" s="240">
        <f t="shared" si="2"/>
        <v>0</v>
      </c>
      <c r="K22" s="323"/>
      <c r="L22" s="241">
        <f t="shared" si="3"/>
        <v>0</v>
      </c>
      <c r="M22" s="324"/>
      <c r="N22" s="242">
        <f t="shared" si="4"/>
        <v>0</v>
      </c>
      <c r="O22" s="324"/>
      <c r="P22" s="243">
        <f t="shared" si="5"/>
        <v>0</v>
      </c>
      <c r="Q22" s="324"/>
      <c r="R22" s="244">
        <f t="shared" si="6"/>
        <v>0</v>
      </c>
      <c r="S22" s="325"/>
      <c r="T22" s="245">
        <f t="shared" si="7"/>
        <v>0</v>
      </c>
      <c r="U22" s="326"/>
      <c r="V22" s="246">
        <f t="shared" si="8"/>
        <v>0</v>
      </c>
      <c r="W22" s="326"/>
      <c r="X22" s="247">
        <f t="shared" si="9"/>
        <v>0</v>
      </c>
      <c r="Y22" s="248">
        <f t="shared" si="10"/>
        <v>0</v>
      </c>
      <c r="Z22" s="249">
        <f t="shared" si="11"/>
        <v>0</v>
      </c>
      <c r="AA22" s="249">
        <f t="shared" si="12"/>
        <v>0</v>
      </c>
      <c r="AB22" s="250">
        <f t="shared" si="13"/>
        <v>0</v>
      </c>
      <c r="AC22" s="250">
        <f t="shared" si="14"/>
        <v>0</v>
      </c>
      <c r="AD22" s="250">
        <f t="shared" si="54"/>
        <v>0</v>
      </c>
      <c r="AE22" s="239">
        <f t="shared" si="15"/>
        <v>0</v>
      </c>
      <c r="AF22" s="251">
        <f t="shared" si="16"/>
        <v>0</v>
      </c>
      <c r="AG22" s="251">
        <f t="shared" si="17"/>
        <v>0</v>
      </c>
      <c r="AH22" s="251">
        <f t="shared" si="33"/>
        <v>0</v>
      </c>
      <c r="AI22" s="251">
        <f t="shared" si="18"/>
        <v>0</v>
      </c>
      <c r="AJ22" s="251">
        <f t="shared" si="19"/>
        <v>0</v>
      </c>
      <c r="AK22" s="251">
        <f t="shared" si="34"/>
        <v>0</v>
      </c>
      <c r="AL22" s="245">
        <f t="shared" si="20"/>
        <v>0</v>
      </c>
      <c r="AM22" s="252">
        <f t="shared" si="35"/>
        <v>0</v>
      </c>
      <c r="AN22" s="252">
        <f t="shared" si="21"/>
        <v>0</v>
      </c>
      <c r="AO22" s="252">
        <f t="shared" si="22"/>
        <v>0</v>
      </c>
      <c r="AP22" s="252">
        <f t="shared" si="23"/>
        <v>0</v>
      </c>
      <c r="AQ22" s="252">
        <f t="shared" si="24"/>
        <v>0</v>
      </c>
      <c r="AR22" s="252">
        <f t="shared" si="36"/>
        <v>0</v>
      </c>
      <c r="AS22" s="396" t="s">
        <v>246</v>
      </c>
      <c r="AT22" s="293">
        <f>SUM(AH7:AH100)</f>
        <v>8417.538689506382</v>
      </c>
      <c r="AU22" s="311"/>
      <c r="AV22" s="402" t="s">
        <v>247</v>
      </c>
      <c r="AW22" s="317">
        <v>18458</v>
      </c>
      <c r="AX22" s="318">
        <v>0.0681</v>
      </c>
      <c r="AY22" s="315">
        <v>35</v>
      </c>
      <c r="AZ22" s="316">
        <v>0.75</v>
      </c>
      <c r="BA22" s="130"/>
      <c r="BB22" s="130"/>
      <c r="BC22" s="130"/>
      <c r="BD22" s="130"/>
      <c r="BE22" s="257">
        <f t="shared" si="37"/>
        <v>2014</v>
      </c>
      <c r="BF22" s="258">
        <v>0</v>
      </c>
      <c r="BG22" s="259"/>
      <c r="BH22" s="260"/>
      <c r="BI22" s="261"/>
      <c r="BJ22" s="262"/>
      <c r="BK22" s="263"/>
      <c r="BL22" s="264">
        <f t="shared" si="38"/>
        <v>2014</v>
      </c>
      <c r="BM22" s="258">
        <v>0</v>
      </c>
      <c r="BN22" s="259"/>
      <c r="BO22" s="260"/>
      <c r="BP22" s="261"/>
      <c r="BQ22" s="262"/>
      <c r="BR22" s="263">
        <v>238</v>
      </c>
      <c r="BS22" s="265">
        <f t="shared" si="39"/>
        <v>2014</v>
      </c>
      <c r="BT22" s="301">
        <v>0</v>
      </c>
      <c r="BU22" s="259"/>
      <c r="BV22" s="260"/>
      <c r="BW22" s="261"/>
      <c r="BX22" s="262"/>
      <c r="BY22" s="263">
        <v>1246</v>
      </c>
      <c r="BZ22" s="368" t="s">
        <v>248</v>
      </c>
      <c r="CA22" s="368" t="s">
        <v>242</v>
      </c>
      <c r="CB22" s="369">
        <f>AX49</f>
        <v>6453.398621115781</v>
      </c>
      <c r="CC22" s="266">
        <f t="shared" si="40"/>
        <v>2014</v>
      </c>
      <c r="CD22" s="267">
        <f t="shared" si="60"/>
        <v>1246</v>
      </c>
      <c r="CE22" s="267">
        <f t="shared" si="41"/>
        <v>723.9248989561786</v>
      </c>
      <c r="CF22" s="267">
        <f t="shared" si="42"/>
        <v>0</v>
      </c>
      <c r="CG22" s="267">
        <f t="shared" si="43"/>
        <v>723.9248989561786</v>
      </c>
      <c r="CH22" s="267">
        <f t="shared" si="44"/>
        <v>503.177524774727</v>
      </c>
      <c r="CI22" s="267">
        <f t="shared" si="45"/>
        <v>1240.600242899758</v>
      </c>
      <c r="CJ22" s="269">
        <f t="shared" si="25"/>
        <v>21.608264480043434</v>
      </c>
      <c r="CK22" s="269">
        <f t="shared" si="46"/>
        <v>2.8259104591235964</v>
      </c>
      <c r="CL22" s="270">
        <f t="shared" si="47"/>
        <v>2014</v>
      </c>
      <c r="CM22" s="271">
        <f t="shared" si="26"/>
        <v>14378.618237747609</v>
      </c>
      <c r="CN22" s="271">
        <f t="shared" si="48"/>
        <v>0</v>
      </c>
      <c r="CO22" s="271">
        <f t="shared" si="49"/>
        <v>0</v>
      </c>
      <c r="CP22" s="271">
        <f t="shared" si="27"/>
        <v>6400</v>
      </c>
      <c r="CQ22" s="271">
        <f t="shared" si="28"/>
        <v>361.9624494780893</v>
      </c>
      <c r="CR22" s="271">
        <f t="shared" si="29"/>
        <v>656.9852153082218</v>
      </c>
      <c r="CS22" s="271">
        <f t="shared" si="50"/>
        <v>6959.670572961298</v>
      </c>
      <c r="CT22" s="271">
        <f t="shared" si="51"/>
        <v>1</v>
      </c>
      <c r="CU22" s="272">
        <f t="shared" si="52"/>
        <v>2014</v>
      </c>
      <c r="CV22" s="273">
        <f t="shared" si="30"/>
        <v>723.9248989561786</v>
      </c>
      <c r="CW22" s="273">
        <f t="shared" si="31"/>
        <v>0</v>
      </c>
      <c r="CX22" s="273">
        <f t="shared" si="32"/>
        <v>7418.947664786311</v>
      </c>
      <c r="CY22" s="273">
        <f>IF(CT21=0,0,IF(CT22&gt;0,0,IF(AND(SUM(CT$7:CT21)&gt;0,SUM(CT22:CT$100)=0),CB$42,0)))</f>
        <v>0</v>
      </c>
      <c r="CZ22" s="273">
        <f>IF(CT21=0,0,IF(CT22&gt;0,0,IF(AND(SUM(CT$7:CT21)&gt;0,SUM(CT22:CT$100)=0),CB$41,0)))</f>
        <v>0</v>
      </c>
      <c r="DA22" s="273">
        <f>IF(SUM(CT$7:CT$100)=0,0,IF(SUM(CT22:CT$100)=0,CZ22-CY22,CM22-SUM(CN22:CR22)-CY22+CZ22))</f>
        <v>6959.670572961298</v>
      </c>
      <c r="DB22" s="274">
        <f t="shared" si="53"/>
        <v>2014</v>
      </c>
      <c r="DC22" s="275">
        <f t="shared" si="55"/>
        <v>3407.0864257975045</v>
      </c>
      <c r="DD22" s="275">
        <f t="shared" si="56"/>
        <v>1162.8797629694932</v>
      </c>
      <c r="DE22" s="275">
        <f t="shared" si="57"/>
        <v>0</v>
      </c>
      <c r="DF22" s="275">
        <f t="shared" si="58"/>
        <v>0</v>
      </c>
      <c r="DG22" s="360">
        <f t="shared" si="59"/>
        <v>286.59060061479397</v>
      </c>
      <c r="DH22" s="175" t="s">
        <v>201</v>
      </c>
      <c r="DI22" s="176">
        <f>SUM(CY7:CY100)</f>
        <v>56000</v>
      </c>
      <c r="DJ22" s="37"/>
      <c r="DK22" s="37"/>
      <c r="DL22" s="37"/>
      <c r="DM22" s="37"/>
      <c r="DN22" s="37"/>
    </row>
    <row r="23" spans="1:118" ht="15">
      <c r="A23" s="386" t="s">
        <v>249</v>
      </c>
      <c r="B23" s="9"/>
      <c r="C23" s="9"/>
      <c r="D23" s="237"/>
      <c r="E23" s="237"/>
      <c r="F23" s="238">
        <f t="shared" si="0"/>
        <v>0</v>
      </c>
      <c r="G23" s="321"/>
      <c r="H23" s="239">
        <f t="shared" si="1"/>
        <v>0</v>
      </c>
      <c r="I23" s="322"/>
      <c r="J23" s="240">
        <f t="shared" si="2"/>
        <v>0</v>
      </c>
      <c r="K23" s="323"/>
      <c r="L23" s="241">
        <f t="shared" si="3"/>
        <v>0</v>
      </c>
      <c r="M23" s="324"/>
      <c r="N23" s="242">
        <f t="shared" si="4"/>
        <v>0</v>
      </c>
      <c r="O23" s="324"/>
      <c r="P23" s="243">
        <f t="shared" si="5"/>
        <v>0</v>
      </c>
      <c r="Q23" s="324"/>
      <c r="R23" s="244">
        <f t="shared" si="6"/>
        <v>0</v>
      </c>
      <c r="S23" s="325"/>
      <c r="T23" s="245">
        <f t="shared" si="7"/>
        <v>0</v>
      </c>
      <c r="U23" s="326"/>
      <c r="V23" s="246">
        <f t="shared" si="8"/>
        <v>0</v>
      </c>
      <c r="W23" s="326"/>
      <c r="X23" s="247">
        <f t="shared" si="9"/>
        <v>0</v>
      </c>
      <c r="Y23" s="248">
        <f aca="true" t="shared" si="61" ref="Y23:Y38">IF(I23=1,Q23*S23,0)*G23</f>
        <v>0</v>
      </c>
      <c r="Z23" s="249">
        <f aca="true" t="shared" si="62" ref="Z23:Z38">IF(I23=1,Q23*S23*(U23/1000),0)*G23</f>
        <v>0</v>
      </c>
      <c r="AA23" s="249">
        <f aca="true" t="shared" si="63" ref="AA23:AA38">Z23*($M23/1000)</f>
        <v>0</v>
      </c>
      <c r="AB23" s="250">
        <f aca="true" t="shared" si="64" ref="AB23:AB38">IF(I23=2,Q23*S23,0)*G23</f>
        <v>0</v>
      </c>
      <c r="AC23" s="250">
        <f aca="true" t="shared" si="65" ref="AC23:AC38">IF(I23=2,Q23*S23*(W23/1000),0)*G23</f>
        <v>0</v>
      </c>
      <c r="AD23" s="250">
        <f t="shared" si="54"/>
        <v>0</v>
      </c>
      <c r="AE23" s="239">
        <f t="shared" si="15"/>
        <v>0</v>
      </c>
      <c r="AF23" s="251">
        <f aca="true" t="shared" si="66" ref="AF23:AF38">IF(I23=3,Q23*S23*K23,0)*G23</f>
        <v>0</v>
      </c>
      <c r="AG23" s="251">
        <f aca="true" t="shared" si="67" ref="AG23:AG38">IF(I23=3,Q23*S23*(U23/1000)*K23,0)*G23</f>
        <v>0</v>
      </c>
      <c r="AH23" s="251">
        <f t="shared" si="33"/>
        <v>0</v>
      </c>
      <c r="AI23" s="251">
        <f aca="true" t="shared" si="68" ref="AI23:AI38">IF(I23=3,Q23*S23*(1-K23),0)*G23</f>
        <v>0</v>
      </c>
      <c r="AJ23" s="251">
        <f aca="true" t="shared" si="69" ref="AJ23:AJ38">IF(I23=3,Q23*S23*(W23/1000)*(1-K23),0)*G23</f>
        <v>0</v>
      </c>
      <c r="AK23" s="251">
        <f t="shared" si="34"/>
        <v>0</v>
      </c>
      <c r="AL23" s="245">
        <f t="shared" si="20"/>
        <v>0</v>
      </c>
      <c r="AM23" s="252">
        <f t="shared" si="35"/>
        <v>0</v>
      </c>
      <c r="AN23" s="252">
        <f aca="true" t="shared" si="70" ref="AN23:AN38">Z23+AD23+AG23+AK23</f>
        <v>0</v>
      </c>
      <c r="AO23" s="252">
        <f aca="true" t="shared" si="71" ref="AO23:AO38">AA23+AC23+AH23+AJ23</f>
        <v>0</v>
      </c>
      <c r="AP23" s="252">
        <f aca="true" t="shared" si="72" ref="AP23:AP38">AN23+(AO23/A$36)</f>
        <v>0</v>
      </c>
      <c r="AQ23" s="252">
        <f aca="true" t="shared" si="73" ref="AQ23:AQ38">IF(I23=1,(Q23*S23*(U23/1000))+((Q23*S23*(U23/1000))*(M23/5620)),IF(I23=2,(Q23*S23*(W23/5620))+((Q23*S23*(W23/1000))*(O23/1000)),(Q23*S23*(U23/1000)*K23)+((Q23*S23*(U23/1000)*K23)*(M23/5620))+(Q23*S23*(W23/5620)*(1-K23))+((Q23*S23*(W23/1000)*(1-K23))*(O23/1000))))</f>
        <v>0</v>
      </c>
      <c r="AR23" s="252">
        <f t="shared" si="36"/>
        <v>0</v>
      </c>
      <c r="AS23" s="397"/>
      <c r="AT23" s="300"/>
      <c r="AU23" s="313"/>
      <c r="AV23" s="401"/>
      <c r="AW23" s="319"/>
      <c r="AX23" s="320"/>
      <c r="AY23" s="315">
        <v>30</v>
      </c>
      <c r="AZ23" s="316">
        <v>0</v>
      </c>
      <c r="BA23" s="131"/>
      <c r="BB23" s="131"/>
      <c r="BC23" s="131"/>
      <c r="BD23" s="131"/>
      <c r="BE23" s="257">
        <f t="shared" si="37"/>
        <v>2015</v>
      </c>
      <c r="BF23" s="258">
        <v>0</v>
      </c>
      <c r="BG23" s="259"/>
      <c r="BH23" s="260"/>
      <c r="BI23" s="261"/>
      <c r="BJ23" s="262"/>
      <c r="BK23" s="263"/>
      <c r="BL23" s="264">
        <f t="shared" si="38"/>
        <v>2015</v>
      </c>
      <c r="BM23" s="258">
        <v>0</v>
      </c>
      <c r="BN23" s="259"/>
      <c r="BO23" s="260"/>
      <c r="BP23" s="261"/>
      <c r="BQ23" s="262"/>
      <c r="BR23" s="263">
        <v>515</v>
      </c>
      <c r="BS23" s="265">
        <f t="shared" si="39"/>
        <v>2015</v>
      </c>
      <c r="BT23" s="301">
        <v>0</v>
      </c>
      <c r="BU23" s="259"/>
      <c r="BV23" s="260"/>
      <c r="BW23" s="261"/>
      <c r="BX23" s="262"/>
      <c r="BY23" s="263">
        <v>165</v>
      </c>
      <c r="BZ23" s="368" t="s">
        <v>250</v>
      </c>
      <c r="CA23" s="368" t="s">
        <v>242</v>
      </c>
      <c r="CB23" s="369">
        <f>AX51*CB19</f>
        <v>948.5322171446178</v>
      </c>
      <c r="CC23" s="266">
        <f t="shared" si="40"/>
        <v>2015</v>
      </c>
      <c r="CD23" s="267">
        <f t="shared" si="60"/>
        <v>165</v>
      </c>
      <c r="CE23" s="267">
        <f t="shared" si="41"/>
        <v>95.86485419564163</v>
      </c>
      <c r="CF23" s="267">
        <f t="shared" si="42"/>
        <v>0</v>
      </c>
      <c r="CG23" s="267">
        <f t="shared" si="43"/>
        <v>95.86485419564163</v>
      </c>
      <c r="CH23" s="267">
        <f t="shared" si="44"/>
        <v>66.63265777514442</v>
      </c>
      <c r="CI23" s="267">
        <f t="shared" si="45"/>
        <v>164.28494388319427</v>
      </c>
      <c r="CJ23" s="269">
        <f t="shared" si="25"/>
        <v>21.759522331403737</v>
      </c>
      <c r="CK23" s="269">
        <f t="shared" si="46"/>
        <v>2.842865921878338</v>
      </c>
      <c r="CL23" s="270">
        <f t="shared" si="47"/>
        <v>2015</v>
      </c>
      <c r="CM23" s="271">
        <f aca="true" t="shared" si="74" ref="CM23:CM38">(CH23*CJ23)+(CI23*CK23)</f>
        <v>1916.9348733022662</v>
      </c>
      <c r="CN23" s="271">
        <f t="shared" si="48"/>
        <v>0</v>
      </c>
      <c r="CO23" s="271">
        <f t="shared" si="49"/>
        <v>0</v>
      </c>
      <c r="CP23" s="271">
        <f aca="true" t="shared" si="75" ref="CP23:CP38">IF(CG23&gt;0,CB$24,0)</f>
        <v>6400</v>
      </c>
      <c r="CQ23" s="271">
        <f aca="true" t="shared" si="76" ref="CQ23:CQ38">CG23*CB$25</f>
        <v>47.93242709782081</v>
      </c>
      <c r="CR23" s="271">
        <f aca="true" t="shared" si="77" ref="CR23:CR38">(CH23*CB$26)+(CI23*CB$37)</f>
        <v>87.00044986023804</v>
      </c>
      <c r="CS23" s="271">
        <f t="shared" si="50"/>
        <v>-4617.998003655793</v>
      </c>
      <c r="CT23" s="271">
        <f t="shared" si="51"/>
        <v>0</v>
      </c>
      <c r="CU23" s="272">
        <f t="shared" si="52"/>
        <v>2015</v>
      </c>
      <c r="CV23" s="273">
        <f aca="true" t="shared" si="78" ref="CV23:CV38">IF(SUM(CT$7:CT$100)=0,0,CG23)</f>
        <v>95.86485419564163</v>
      </c>
      <c r="CW23" s="273">
        <f aca="true" t="shared" si="79" ref="CW23:CW38">IF(SUM(CT$7:CT$100)=0,0,CN23+CO23)</f>
        <v>0</v>
      </c>
      <c r="CX23" s="273">
        <f aca="true" t="shared" si="80" ref="CX23:CX38">IF(SUM(CT$7:CT$100)=0,0,CP23+CQ23+CR23)</f>
        <v>6534.932876958059</v>
      </c>
      <c r="CY23" s="273">
        <f>IF(CT22=0,0,IF(CT23&gt;0,0,IF(AND(SUM(CT$7:CT22)&gt;0,SUM(CT23:CT$100)=0),CB$42,0)))</f>
        <v>0</v>
      </c>
      <c r="CZ23" s="273">
        <f>IF(CT22=0,0,IF(CT23&gt;0,0,IF(AND(SUM(CT$7:CT22)&gt;0,SUM(CT23:CT$100)=0),CB$41,0)))</f>
        <v>0</v>
      </c>
      <c r="DA23" s="273">
        <f>IF(SUM(CT$7:CT$100)=0,0,IF(SUM(CT23:CT$100)=0,CZ23-CY23,CM23-SUM(CN23:CR23)-CY23+CZ23))</f>
        <v>-4617.998003655793</v>
      </c>
      <c r="DB23" s="274">
        <f t="shared" si="53"/>
        <v>2015</v>
      </c>
      <c r="DC23" s="275">
        <f t="shared" si="55"/>
        <v>-2153.0737626388955</v>
      </c>
      <c r="DD23" s="275">
        <f t="shared" si="56"/>
        <v>-682.8438884988983</v>
      </c>
      <c r="DE23" s="275">
        <f t="shared" si="57"/>
        <v>0</v>
      </c>
      <c r="DF23" s="275">
        <f t="shared" si="58"/>
        <v>0</v>
      </c>
      <c r="DG23" s="360">
        <f t="shared" si="59"/>
        <v>33.823085685938544</v>
      </c>
      <c r="DH23" s="175"/>
      <c r="DI23" s="205"/>
      <c r="DJ23" s="37"/>
      <c r="DK23" s="37"/>
      <c r="DL23" s="37"/>
      <c r="DM23" s="37"/>
      <c r="DN23" s="37"/>
    </row>
    <row r="24" spans="1:118" ht="15">
      <c r="A24" s="387"/>
      <c r="B24" s="9"/>
      <c r="C24" s="9"/>
      <c r="D24" s="237"/>
      <c r="E24" s="237"/>
      <c r="F24" s="238">
        <f t="shared" si="0"/>
        <v>0</v>
      </c>
      <c r="G24" s="321"/>
      <c r="H24" s="239">
        <f t="shared" si="1"/>
        <v>0</v>
      </c>
      <c r="I24" s="322"/>
      <c r="J24" s="240">
        <f t="shared" si="2"/>
        <v>0</v>
      </c>
      <c r="K24" s="323"/>
      <c r="L24" s="241">
        <f t="shared" si="3"/>
        <v>0</v>
      </c>
      <c r="M24" s="324"/>
      <c r="N24" s="242">
        <f t="shared" si="4"/>
        <v>0</v>
      </c>
      <c r="O24" s="324"/>
      <c r="P24" s="243">
        <f t="shared" si="5"/>
        <v>0</v>
      </c>
      <c r="Q24" s="324"/>
      <c r="R24" s="244">
        <f t="shared" si="6"/>
        <v>0</v>
      </c>
      <c r="S24" s="325"/>
      <c r="T24" s="245">
        <f t="shared" si="7"/>
        <v>0</v>
      </c>
      <c r="U24" s="326"/>
      <c r="V24" s="246">
        <f t="shared" si="8"/>
        <v>0</v>
      </c>
      <c r="W24" s="326"/>
      <c r="X24" s="247">
        <f t="shared" si="9"/>
        <v>0</v>
      </c>
      <c r="Y24" s="248">
        <f t="shared" si="61"/>
        <v>0</v>
      </c>
      <c r="Z24" s="249">
        <f t="shared" si="62"/>
        <v>0</v>
      </c>
      <c r="AA24" s="249">
        <f t="shared" si="63"/>
        <v>0</v>
      </c>
      <c r="AB24" s="250">
        <f t="shared" si="64"/>
        <v>0</v>
      </c>
      <c r="AC24" s="250">
        <f t="shared" si="65"/>
        <v>0</v>
      </c>
      <c r="AD24" s="250">
        <f t="shared" si="54"/>
        <v>0</v>
      </c>
      <c r="AE24" s="239">
        <f t="shared" si="15"/>
        <v>0</v>
      </c>
      <c r="AF24" s="251">
        <f t="shared" si="66"/>
        <v>0</v>
      </c>
      <c r="AG24" s="251">
        <f t="shared" si="67"/>
        <v>0</v>
      </c>
      <c r="AH24" s="251">
        <f aca="true" t="shared" si="81" ref="AH24:AH39">AG24*($M24/1000)</f>
        <v>0</v>
      </c>
      <c r="AI24" s="251">
        <f t="shared" si="68"/>
        <v>0</v>
      </c>
      <c r="AJ24" s="251">
        <f t="shared" si="69"/>
        <v>0</v>
      </c>
      <c r="AK24" s="251">
        <f aca="true" t="shared" si="82" ref="AK24:AK39">AJ24*($O24/1000)</f>
        <v>0</v>
      </c>
      <c r="AL24" s="245">
        <f t="shared" si="20"/>
        <v>0</v>
      </c>
      <c r="AM24" s="252">
        <f aca="true" t="shared" si="83" ref="AM24:AM39">Y24+AB24+AF24+AI24</f>
        <v>0</v>
      </c>
      <c r="AN24" s="252">
        <f t="shared" si="70"/>
        <v>0</v>
      </c>
      <c r="AO24" s="252">
        <f t="shared" si="71"/>
        <v>0</v>
      </c>
      <c r="AP24" s="252">
        <f t="shared" si="72"/>
        <v>0</v>
      </c>
      <c r="AQ24" s="252">
        <f t="shared" si="73"/>
        <v>0</v>
      </c>
      <c r="AR24" s="252">
        <f aca="true" t="shared" si="84" ref="AR24:AR39">IF(G24=0,0,AQ24)</f>
        <v>0</v>
      </c>
      <c r="AS24" s="396" t="s">
        <v>251</v>
      </c>
      <c r="AT24" s="293">
        <f>SUM(AJ7:AJ100)</f>
        <v>26132.465514096213</v>
      </c>
      <c r="AU24" s="311"/>
      <c r="AV24" s="402" t="s">
        <v>252</v>
      </c>
      <c r="AW24" s="317">
        <v>5094</v>
      </c>
      <c r="AX24" s="318">
        <v>0.3782</v>
      </c>
      <c r="AY24" s="315">
        <v>0</v>
      </c>
      <c r="AZ24" s="316">
        <v>-4.5</v>
      </c>
      <c r="BA24" s="131"/>
      <c r="BB24" s="131"/>
      <c r="BC24" s="131"/>
      <c r="BD24" s="131"/>
      <c r="BE24" s="257">
        <f aca="true" t="shared" si="85" ref="BE24:BE39">BE23+1</f>
        <v>2016</v>
      </c>
      <c r="BF24" s="258">
        <v>0</v>
      </c>
      <c r="BG24" s="259"/>
      <c r="BH24" s="260"/>
      <c r="BI24" s="261"/>
      <c r="BJ24" s="262"/>
      <c r="BK24" s="263"/>
      <c r="BL24" s="264">
        <f aca="true" t="shared" si="86" ref="BL24:BL39">BL23+1</f>
        <v>2016</v>
      </c>
      <c r="BM24" s="258">
        <v>0</v>
      </c>
      <c r="BN24" s="259"/>
      <c r="BO24" s="260"/>
      <c r="BP24" s="261"/>
      <c r="BQ24" s="262"/>
      <c r="BR24" s="263"/>
      <c r="BS24" s="265">
        <f aca="true" t="shared" si="87" ref="BS24:BS39">BS23+1</f>
        <v>2016</v>
      </c>
      <c r="BT24" s="301">
        <v>0</v>
      </c>
      <c r="BU24" s="259"/>
      <c r="BV24" s="260"/>
      <c r="BW24" s="261"/>
      <c r="BX24" s="262"/>
      <c r="BY24" s="263">
        <v>840</v>
      </c>
      <c r="BZ24" s="368" t="s">
        <v>253</v>
      </c>
      <c r="CA24" s="368" t="s">
        <v>254</v>
      </c>
      <c r="CB24" s="369">
        <f>IF(CB$4&lt;AW$36,BB9,IF(CB$4&lt;AW$38,BC9,BD9))</f>
        <v>6400</v>
      </c>
      <c r="CC24" s="266">
        <f aca="true" t="shared" si="88" ref="CC24:CC39">CC23+1</f>
        <v>2016</v>
      </c>
      <c r="CD24" s="267">
        <f t="shared" si="60"/>
        <v>840</v>
      </c>
      <c r="CE24" s="267">
        <f aca="true" t="shared" si="89" ref="CE24:CE39">(CD24/SUM(CD$7:CD$100))*CB$12</f>
        <v>488.0392577232665</v>
      </c>
      <c r="CF24" s="267">
        <f aca="true" t="shared" si="90" ref="CF24:CF39">IF(CB$5&gt;=CB$6,IF(CE24+CF23-CB$8&lt;=0,0,CE24+CF23-CB$8),IF(CE24+CF23-CB$9&lt;=0,0,CE24+CF23-CB$9))</f>
        <v>0</v>
      </c>
      <c r="CG24" s="267">
        <f>IF(CB$5&gt;=CB$6,IF(CF24&gt;0,CB$8,IF(AND(CE24=0,CF23&lt;CB$8),CF23,CE24+CF23)),IF(CF24&gt;0,CB$9,IF(AND(CE24=0,CF23&lt;CB$9),CF23,CE24+CF23)))</f>
        <v>488.0392577232665</v>
      </c>
      <c r="CH24" s="267">
        <f aca="true" t="shared" si="91" ref="CH24:CH39">CG24*CB$16</f>
        <v>339.22080321891707</v>
      </c>
      <c r="CI24" s="267">
        <f aca="true" t="shared" si="92" ref="CI24:CI39">(CG24-CH24)*CB$7</f>
        <v>836.3597143144436</v>
      </c>
      <c r="CJ24" s="269">
        <f aca="true" t="shared" si="93" ref="CJ24:CJ39">IF(CC24=0,"",IF(CC24&lt;AZ$5,0,IF(CC24&lt;AZ$9,CB$43*CB$44^(CC24-AZ$5),IF(CC24&lt;AZ$12,CB$47*CB$49^(CC24-AZ$9),CB$51*CB$53^(CC24-AZ$12)))))</f>
        <v>21.911838987723566</v>
      </c>
      <c r="CK24" s="269">
        <f aca="true" t="shared" si="94" ref="CK24:CK39">IF(CC24=0,"",IF(CC24&lt;AZ$31,0,IF(CC24&lt;AZ$35,CB$45*CB$46^(CC24-AZ$31),IF(CC24&lt;AZ$38,CB$48*CB$50^(CC24-AZ$35),CB$52*CB$54^(CC24-AZ$38)))))</f>
        <v>2.859923117409608</v>
      </c>
      <c r="CL24" s="270">
        <f aca="true" t="shared" si="95" ref="CL24:CL39">CL23+1</f>
        <v>2016</v>
      </c>
      <c r="CM24" s="271">
        <f t="shared" si="74"/>
        <v>9824.876102857143</v>
      </c>
      <c r="CN24" s="271">
        <f aca="true" t="shared" si="96" ref="CN24:CN39">IF(CB$4&lt;AW$36,BF24*CB$18,IF(CB$4&lt;AW$38,BM24*CB$18,BT24*CB$18))</f>
        <v>0</v>
      </c>
      <c r="CO24" s="271">
        <f aca="true" t="shared" si="97" ref="CO24:CO39">IF(CB$12&lt;AW$36,(BG24*CB$20)+(BH24*CB$21)+(BI24*CB$22)+(BJ24*CB$23),IF(CB$12&lt;AW$38,(BN24*CB$20)+(BO24*CB$21)+(BP24*CB$22)+(BQ24*CB$23),(BU24*CB$20)+(BV24*CB$21)+(BW24*CB$22)+(BX24*CB$23)))</f>
        <v>0</v>
      </c>
      <c r="CP24" s="271">
        <f t="shared" si="75"/>
        <v>6400</v>
      </c>
      <c r="CQ24" s="271">
        <f t="shared" si="76"/>
        <v>244.01962886163324</v>
      </c>
      <c r="CR24" s="271">
        <f t="shared" si="77"/>
        <v>442.91138110666634</v>
      </c>
      <c r="CS24" s="271">
        <f aca="true" t="shared" si="98" ref="CS24:CS39">CM24-CP24-CQ24-CR24</f>
        <v>2737.9450928888427</v>
      </c>
      <c r="CT24" s="271">
        <f aca="true" t="shared" si="99" ref="CT24:CT39">IF(CS24&lt;=0,0,1)</f>
        <v>1</v>
      </c>
      <c r="CU24" s="272">
        <f aca="true" t="shared" si="100" ref="CU24:CU39">CU23+1</f>
        <v>2016</v>
      </c>
      <c r="CV24" s="273">
        <f t="shared" si="78"/>
        <v>488.0392577232665</v>
      </c>
      <c r="CW24" s="273">
        <f t="shared" si="79"/>
        <v>0</v>
      </c>
      <c r="CX24" s="273">
        <f t="shared" si="80"/>
        <v>7086.9310099683</v>
      </c>
      <c r="CY24" s="273">
        <f>IF(CT23=0,0,IF(CT24&gt;0,0,IF(AND(SUM(CT$7:CT23)&gt;0,SUM(CT24:CT$100)=0),CB$42,0)))</f>
        <v>0</v>
      </c>
      <c r="CZ24" s="273">
        <f>IF(CT23=0,0,IF(CT24&gt;0,0,IF(AND(SUM(CT$7:CT23)&gt;0,SUM(CT24:CT$100)=0),CB$41,0)))</f>
        <v>0</v>
      </c>
      <c r="DA24" s="273">
        <f>IF(SUM(CT$7:CT$100)=0,0,IF(SUM(CT24:CT$100)=0,CZ24-CY24,CM24-SUM(CN24:CR24)-CY24+CZ24))</f>
        <v>2737.9450928888427</v>
      </c>
      <c r="DB24" s="274">
        <f aca="true" t="shared" si="101" ref="DB24:DB39">DB23+1</f>
        <v>2016</v>
      </c>
      <c r="DC24" s="275">
        <f t="shared" si="55"/>
        <v>1215.7397123948854</v>
      </c>
      <c r="DD24" s="275">
        <f t="shared" si="56"/>
        <v>358.2729147471113</v>
      </c>
      <c r="DE24" s="275">
        <f t="shared" si="57"/>
        <v>0</v>
      </c>
      <c r="DF24" s="275">
        <f t="shared" si="58"/>
        <v>0</v>
      </c>
      <c r="DG24" s="360">
        <f t="shared" si="59"/>
        <v>153.45924282988256</v>
      </c>
      <c r="DH24" s="175" t="s">
        <v>255</v>
      </c>
      <c r="DI24" s="176">
        <f>SUM(DD7:DD100)</f>
        <v>56514.96872269083</v>
      </c>
      <c r="DJ24" s="37"/>
      <c r="DK24" s="37"/>
      <c r="DL24" s="37"/>
      <c r="DM24" s="37"/>
      <c r="DN24" s="37"/>
    </row>
    <row r="25" spans="1:118" ht="15">
      <c r="A25" s="386" t="s">
        <v>256</v>
      </c>
      <c r="B25" s="9"/>
      <c r="C25" s="9"/>
      <c r="D25" s="237"/>
      <c r="E25" s="237"/>
      <c r="F25" s="238">
        <f t="shared" si="0"/>
        <v>0</v>
      </c>
      <c r="G25" s="321"/>
      <c r="H25" s="239">
        <f t="shared" si="1"/>
        <v>0</v>
      </c>
      <c r="I25" s="322"/>
      <c r="J25" s="240">
        <f t="shared" si="2"/>
        <v>0</v>
      </c>
      <c r="K25" s="323"/>
      <c r="L25" s="241">
        <f t="shared" si="3"/>
        <v>0</v>
      </c>
      <c r="M25" s="324"/>
      <c r="N25" s="242">
        <f t="shared" si="4"/>
        <v>0</v>
      </c>
      <c r="O25" s="324"/>
      <c r="P25" s="243">
        <f t="shared" si="5"/>
        <v>0</v>
      </c>
      <c r="Q25" s="324"/>
      <c r="R25" s="244">
        <f t="shared" si="6"/>
        <v>0</v>
      </c>
      <c r="S25" s="325"/>
      <c r="T25" s="245">
        <f t="shared" si="7"/>
        <v>0</v>
      </c>
      <c r="U25" s="326"/>
      <c r="V25" s="246">
        <f t="shared" si="8"/>
        <v>0</v>
      </c>
      <c r="W25" s="326"/>
      <c r="X25" s="247">
        <f t="shared" si="9"/>
        <v>0</v>
      </c>
      <c r="Y25" s="248">
        <f t="shared" si="61"/>
        <v>0</v>
      </c>
      <c r="Z25" s="249">
        <f t="shared" si="62"/>
        <v>0</v>
      </c>
      <c r="AA25" s="249">
        <f t="shared" si="63"/>
        <v>0</v>
      </c>
      <c r="AB25" s="250">
        <f t="shared" si="64"/>
        <v>0</v>
      </c>
      <c r="AC25" s="250">
        <f t="shared" si="65"/>
        <v>0</v>
      </c>
      <c r="AD25" s="250">
        <f aca="true" t="shared" si="102" ref="AD25:AD40">AC25*($O25/1000)</f>
        <v>0</v>
      </c>
      <c r="AE25" s="239">
        <f t="shared" si="15"/>
        <v>0</v>
      </c>
      <c r="AF25" s="251">
        <f t="shared" si="66"/>
        <v>0</v>
      </c>
      <c r="AG25" s="251">
        <f t="shared" si="67"/>
        <v>0</v>
      </c>
      <c r="AH25" s="251">
        <f t="shared" si="81"/>
        <v>0</v>
      </c>
      <c r="AI25" s="251">
        <f t="shared" si="68"/>
        <v>0</v>
      </c>
      <c r="AJ25" s="251">
        <f t="shared" si="69"/>
        <v>0</v>
      </c>
      <c r="AK25" s="251">
        <f t="shared" si="82"/>
        <v>0</v>
      </c>
      <c r="AL25" s="245">
        <f t="shared" si="20"/>
        <v>0</v>
      </c>
      <c r="AM25" s="252">
        <f t="shared" si="83"/>
        <v>0</v>
      </c>
      <c r="AN25" s="252">
        <f t="shared" si="70"/>
        <v>0</v>
      </c>
      <c r="AO25" s="252">
        <f t="shared" si="71"/>
        <v>0</v>
      </c>
      <c r="AP25" s="252">
        <f t="shared" si="72"/>
        <v>0</v>
      </c>
      <c r="AQ25" s="252">
        <f t="shared" si="73"/>
        <v>0</v>
      </c>
      <c r="AR25" s="252">
        <f t="shared" si="84"/>
        <v>0</v>
      </c>
      <c r="AS25" s="397"/>
      <c r="AT25" s="300"/>
      <c r="AU25" s="313"/>
      <c r="AV25" s="401"/>
      <c r="AW25" s="319"/>
      <c r="AX25" s="320"/>
      <c r="AY25" s="39"/>
      <c r="AZ25" s="158"/>
      <c r="BA25" s="131"/>
      <c r="BB25" s="131"/>
      <c r="BC25" s="131"/>
      <c r="BD25" s="131"/>
      <c r="BE25" s="257">
        <f t="shared" si="85"/>
        <v>2017</v>
      </c>
      <c r="BF25" s="258">
        <v>0</v>
      </c>
      <c r="BG25" s="259"/>
      <c r="BH25" s="260"/>
      <c r="BI25" s="261"/>
      <c r="BJ25" s="262"/>
      <c r="BK25" s="263"/>
      <c r="BL25" s="264">
        <f t="shared" si="86"/>
        <v>2017</v>
      </c>
      <c r="BM25" s="258">
        <v>0</v>
      </c>
      <c r="BN25" s="259"/>
      <c r="BO25" s="260"/>
      <c r="BP25" s="261"/>
      <c r="BQ25" s="262"/>
      <c r="BR25" s="263"/>
      <c r="BS25" s="265">
        <f t="shared" si="87"/>
        <v>2017</v>
      </c>
      <c r="BT25" s="301">
        <v>0</v>
      </c>
      <c r="BU25" s="259"/>
      <c r="BV25" s="260"/>
      <c r="BW25" s="261"/>
      <c r="BX25" s="262"/>
      <c r="BY25" s="263">
        <v>791</v>
      </c>
      <c r="BZ25" s="368" t="s">
        <v>257</v>
      </c>
      <c r="CA25" s="368" t="s">
        <v>258</v>
      </c>
      <c r="CB25" s="378">
        <f>IF(CB$4&lt;AW$36,BB10,IF(CB$4&lt;AW$38,BC10,BD10))</f>
        <v>0.5</v>
      </c>
      <c r="CC25" s="266">
        <f t="shared" si="88"/>
        <v>2017</v>
      </c>
      <c r="CD25" s="267">
        <f t="shared" si="60"/>
        <v>791</v>
      </c>
      <c r="CE25" s="267">
        <f t="shared" si="89"/>
        <v>459.57030102274257</v>
      </c>
      <c r="CF25" s="267">
        <f t="shared" si="90"/>
        <v>0</v>
      </c>
      <c r="CG25" s="267">
        <f>IF(CB$5&gt;=CB$6,IF(CF25&gt;0,CB$8,IF(AND(CE25=0,CF24&lt;CB$8),CF24,CE25+CF24)),IF(CF25&gt;0,CB$9,IF(AND(CE25=0,CF24&lt;CB$9),CF24,CE25+CF24)))</f>
        <v>459.57030102274257</v>
      </c>
      <c r="CH25" s="267">
        <f t="shared" si="91"/>
        <v>319.43292303114686</v>
      </c>
      <c r="CI25" s="267">
        <f t="shared" si="92"/>
        <v>787.5720643127679</v>
      </c>
      <c r="CJ25" s="269">
        <f t="shared" si="93"/>
        <v>22.065221860637624</v>
      </c>
      <c r="CK25" s="269">
        <f t="shared" si="94"/>
        <v>2.877082656114066</v>
      </c>
      <c r="CL25" s="270">
        <f t="shared" si="95"/>
        <v>2017</v>
      </c>
      <c r="CM25" s="271">
        <f t="shared" si="74"/>
        <v>9314.268242948454</v>
      </c>
      <c r="CN25" s="271">
        <f t="shared" si="96"/>
        <v>0</v>
      </c>
      <c r="CO25" s="271">
        <f t="shared" si="97"/>
        <v>0</v>
      </c>
      <c r="CP25" s="271">
        <f t="shared" si="75"/>
        <v>6400</v>
      </c>
      <c r="CQ25" s="271">
        <f t="shared" si="76"/>
        <v>229.78515051137128</v>
      </c>
      <c r="CR25" s="271">
        <f t="shared" si="77"/>
        <v>417.07488387544413</v>
      </c>
      <c r="CS25" s="271">
        <f t="shared" si="98"/>
        <v>2267.4082085616383</v>
      </c>
      <c r="CT25" s="271">
        <f t="shared" si="99"/>
        <v>1</v>
      </c>
      <c r="CU25" s="272">
        <f t="shared" si="100"/>
        <v>2017</v>
      </c>
      <c r="CV25" s="273">
        <f t="shared" si="78"/>
        <v>459.57030102274257</v>
      </c>
      <c r="CW25" s="273">
        <f t="shared" si="79"/>
        <v>0</v>
      </c>
      <c r="CX25" s="273">
        <f t="shared" si="80"/>
        <v>7046.860034386816</v>
      </c>
      <c r="CY25" s="273">
        <f>IF(CT24=0,0,IF(CT25&gt;0,0,IF(AND(SUM(CT$7:CT24)&gt;0,SUM(CT25:CT$100)=0),CB$42,0)))</f>
        <v>0</v>
      </c>
      <c r="CZ25" s="273">
        <f>IF(CT24=0,0,IF(CT25&gt;0,0,IF(AND(SUM(CT$7:CT24)&gt;0,SUM(CT25:CT$100)=0),CB$41,0)))</f>
        <v>0</v>
      </c>
      <c r="DA25" s="273">
        <f>IF(SUM(CT$7:CT$100)=0,0,IF(SUM(CT25:CT$100)=0,CZ25-CY25,CM25-SUM(CN25:CR25)-CY25+CZ25))</f>
        <v>2267.4082085616383</v>
      </c>
      <c r="DB25" s="274">
        <f t="shared" si="101"/>
        <v>2017</v>
      </c>
      <c r="DC25" s="275">
        <f t="shared" si="55"/>
        <v>958.8623896972189</v>
      </c>
      <c r="DD25" s="275">
        <f t="shared" si="56"/>
        <v>262.5672245731017</v>
      </c>
      <c r="DE25" s="275">
        <f t="shared" si="57"/>
        <v>0</v>
      </c>
      <c r="DF25" s="275">
        <f t="shared" si="58"/>
        <v>0</v>
      </c>
      <c r="DG25" s="360">
        <f t="shared" si="59"/>
        <v>128.7875380115154</v>
      </c>
      <c r="DH25" s="233"/>
      <c r="DI25" s="233"/>
      <c r="DJ25" s="37"/>
      <c r="DK25" s="37"/>
      <c r="DL25" s="37"/>
      <c r="DM25" s="37"/>
      <c r="DN25" s="37"/>
    </row>
    <row r="26" spans="1:118" ht="15">
      <c r="A26" s="387"/>
      <c r="B26" s="9"/>
      <c r="C26" s="9"/>
      <c r="D26" s="237"/>
      <c r="E26" s="237"/>
      <c r="F26" s="238">
        <f t="shared" si="0"/>
        <v>0</v>
      </c>
      <c r="G26" s="321"/>
      <c r="H26" s="239">
        <f t="shared" si="1"/>
        <v>0</v>
      </c>
      <c r="I26" s="322"/>
      <c r="J26" s="240">
        <f t="shared" si="2"/>
        <v>0</v>
      </c>
      <c r="K26" s="323"/>
      <c r="L26" s="241">
        <f t="shared" si="3"/>
        <v>0</v>
      </c>
      <c r="M26" s="324"/>
      <c r="N26" s="242">
        <f t="shared" si="4"/>
        <v>0</v>
      </c>
      <c r="O26" s="324"/>
      <c r="P26" s="243">
        <f t="shared" si="5"/>
        <v>0</v>
      </c>
      <c r="Q26" s="324"/>
      <c r="R26" s="244">
        <f t="shared" si="6"/>
        <v>0</v>
      </c>
      <c r="S26" s="325"/>
      <c r="T26" s="245">
        <f t="shared" si="7"/>
        <v>0</v>
      </c>
      <c r="U26" s="326"/>
      <c r="V26" s="246">
        <f t="shared" si="8"/>
        <v>0</v>
      </c>
      <c r="W26" s="326"/>
      <c r="X26" s="247">
        <f t="shared" si="9"/>
        <v>0</v>
      </c>
      <c r="Y26" s="248">
        <f t="shared" si="61"/>
        <v>0</v>
      </c>
      <c r="Z26" s="249">
        <f t="shared" si="62"/>
        <v>0</v>
      </c>
      <c r="AA26" s="249">
        <f t="shared" si="63"/>
        <v>0</v>
      </c>
      <c r="AB26" s="250">
        <f t="shared" si="64"/>
        <v>0</v>
      </c>
      <c r="AC26" s="250">
        <f t="shared" si="65"/>
        <v>0</v>
      </c>
      <c r="AD26" s="250">
        <f t="shared" si="102"/>
        <v>0</v>
      </c>
      <c r="AE26" s="239">
        <f t="shared" si="15"/>
        <v>0</v>
      </c>
      <c r="AF26" s="251">
        <f t="shared" si="66"/>
        <v>0</v>
      </c>
      <c r="AG26" s="251">
        <f t="shared" si="67"/>
        <v>0</v>
      </c>
      <c r="AH26" s="251">
        <f t="shared" si="81"/>
        <v>0</v>
      </c>
      <c r="AI26" s="251">
        <f t="shared" si="68"/>
        <v>0</v>
      </c>
      <c r="AJ26" s="251">
        <f t="shared" si="69"/>
        <v>0</v>
      </c>
      <c r="AK26" s="251">
        <f t="shared" si="82"/>
        <v>0</v>
      </c>
      <c r="AL26" s="245">
        <f t="shared" si="20"/>
        <v>0</v>
      </c>
      <c r="AM26" s="252">
        <f t="shared" si="83"/>
        <v>0</v>
      </c>
      <c r="AN26" s="252">
        <f t="shared" si="70"/>
        <v>0</v>
      </c>
      <c r="AO26" s="252">
        <f t="shared" si="71"/>
        <v>0</v>
      </c>
      <c r="AP26" s="252">
        <f t="shared" si="72"/>
        <v>0</v>
      </c>
      <c r="AQ26" s="252">
        <f t="shared" si="73"/>
        <v>0</v>
      </c>
      <c r="AR26" s="252">
        <f t="shared" si="84"/>
        <v>0</v>
      </c>
      <c r="AS26" s="396" t="s">
        <v>259</v>
      </c>
      <c r="AT26" s="293">
        <f>SUM(AK7:AK100)</f>
        <v>3082.041527609664</v>
      </c>
      <c r="AU26" s="311"/>
      <c r="AV26" s="280" t="s">
        <v>260</v>
      </c>
      <c r="AW26" s="317">
        <v>164066</v>
      </c>
      <c r="AX26" s="318">
        <v>0.8515</v>
      </c>
      <c r="AY26" s="39"/>
      <c r="AZ26" s="158"/>
      <c r="BA26" s="131"/>
      <c r="BB26" s="131"/>
      <c r="BC26" s="131"/>
      <c r="BD26" s="131"/>
      <c r="BE26" s="257">
        <f t="shared" si="85"/>
        <v>2018</v>
      </c>
      <c r="BF26" s="258">
        <v>0</v>
      </c>
      <c r="BG26" s="259"/>
      <c r="BH26" s="260"/>
      <c r="BI26" s="261"/>
      <c r="BJ26" s="262"/>
      <c r="BK26" s="263"/>
      <c r="BL26" s="264">
        <f t="shared" si="86"/>
        <v>2018</v>
      </c>
      <c r="BM26" s="258">
        <v>0</v>
      </c>
      <c r="BN26" s="259"/>
      <c r="BO26" s="260"/>
      <c r="BP26" s="261"/>
      <c r="BQ26" s="262"/>
      <c r="BR26" s="263"/>
      <c r="BS26" s="265">
        <f t="shared" si="87"/>
        <v>2018</v>
      </c>
      <c r="BT26" s="301">
        <v>0</v>
      </c>
      <c r="BU26" s="259"/>
      <c r="BV26" s="260"/>
      <c r="BW26" s="261"/>
      <c r="BX26" s="262"/>
      <c r="BY26" s="263">
        <v>732</v>
      </c>
      <c r="BZ26" s="368" t="s">
        <v>261</v>
      </c>
      <c r="CA26" s="368" t="s">
        <v>262</v>
      </c>
      <c r="CB26" s="378">
        <f>AX53</f>
        <v>0.7259779931187793</v>
      </c>
      <c r="CC26" s="266">
        <f t="shared" si="88"/>
        <v>2018</v>
      </c>
      <c r="CD26" s="267">
        <f t="shared" si="60"/>
        <v>732</v>
      </c>
      <c r="CE26" s="267">
        <f t="shared" si="89"/>
        <v>425.2913531588465</v>
      </c>
      <c r="CF26" s="267">
        <f t="shared" si="90"/>
        <v>0</v>
      </c>
      <c r="CG26" s="267">
        <f>IF(CB$5&gt;=CB$6,IF(CF26&gt;0,CB$8,IF(AND(CE26=0,CF25&lt;CB$8),CF25,CE26+CF25)),IF(CF26&gt;0,CB$9,IF(AND(CE26=0,CF25&lt;CB$9),CF25,CE26+CF25)))</f>
        <v>425.2913531588465</v>
      </c>
      <c r="CH26" s="267">
        <f t="shared" si="91"/>
        <v>295.60669994791346</v>
      </c>
      <c r="CI26" s="267">
        <f t="shared" si="92"/>
        <v>728.8277510454437</v>
      </c>
      <c r="CJ26" s="269">
        <f t="shared" si="93"/>
        <v>22.219678413662084</v>
      </c>
      <c r="CK26" s="269">
        <f t="shared" si="94"/>
        <v>2.89434515205075</v>
      </c>
      <c r="CL26" s="270">
        <f t="shared" si="95"/>
        <v>2018</v>
      </c>
      <c r="CM26" s="271">
        <f t="shared" si="74"/>
        <v>8677.76487768497</v>
      </c>
      <c r="CN26" s="271">
        <f t="shared" si="96"/>
        <v>0</v>
      </c>
      <c r="CO26" s="271">
        <f t="shared" si="97"/>
        <v>0</v>
      </c>
      <c r="CP26" s="271">
        <f t="shared" si="75"/>
        <v>6400</v>
      </c>
      <c r="CQ26" s="271">
        <f t="shared" si="76"/>
        <v>212.64567657942325</v>
      </c>
      <c r="CR26" s="271">
        <f t="shared" si="77"/>
        <v>385.9656321072378</v>
      </c>
      <c r="CS26" s="271">
        <f t="shared" si="98"/>
        <v>1679.1535689983082</v>
      </c>
      <c r="CT26" s="271">
        <f t="shared" si="99"/>
        <v>1</v>
      </c>
      <c r="CU26" s="272">
        <f t="shared" si="100"/>
        <v>2018</v>
      </c>
      <c r="CV26" s="273">
        <f t="shared" si="78"/>
        <v>425.2913531588465</v>
      </c>
      <c r="CW26" s="273">
        <f t="shared" si="79"/>
        <v>0</v>
      </c>
      <c r="CX26" s="273">
        <f t="shared" si="80"/>
        <v>6998.611308686661</v>
      </c>
      <c r="CY26" s="273">
        <f>IF(CT25=0,0,IF(CT26&gt;0,0,IF(AND(SUM(CT$7:CT25)&gt;0,SUM(CT26:CT$100)=0),CB$42,0)))</f>
        <v>0</v>
      </c>
      <c r="CZ26" s="273">
        <f>IF(CT25=0,0,IF(CT26&gt;0,0,IF(AND(SUM(CT$7:CT25)&gt;0,SUM(CT26:CT$100)=0),CB$41,0)))</f>
        <v>0</v>
      </c>
      <c r="DA26" s="273">
        <f>IF(SUM(CT$7:CT$100)=0,0,IF(SUM(CT26:CT$100)=0,CZ26-CY26,CM26-SUM(CN26:CR26)-CY26+CZ26))</f>
        <v>1679.1535689983084</v>
      </c>
      <c r="DB26" s="274">
        <f t="shared" si="101"/>
        <v>2018</v>
      </c>
      <c r="DC26" s="275">
        <f t="shared" si="55"/>
        <v>676.2817806728983</v>
      </c>
      <c r="DD26" s="275">
        <f t="shared" si="56"/>
        <v>172.0769787834782</v>
      </c>
      <c r="DE26" s="275">
        <f t="shared" si="57"/>
        <v>0</v>
      </c>
      <c r="DF26" s="275">
        <f t="shared" si="58"/>
        <v>0</v>
      </c>
      <c r="DG26" s="360">
        <f t="shared" si="59"/>
        <v>106.21629471547587</v>
      </c>
      <c r="DH26" s="175" t="s">
        <v>263</v>
      </c>
      <c r="DI26" s="361">
        <f>IF(SUM(DC7:DC100)=0,0,IF(SUM(DC7:DC100)&lt;0,-(AW10*0.65),-(AW10*0.65)-SUM(DG7:DG100)))</f>
        <v>-101455.37842440927</v>
      </c>
      <c r="DJ26" s="37"/>
      <c r="DK26" s="37"/>
      <c r="DL26" s="37"/>
      <c r="DM26" s="37"/>
      <c r="DN26" s="37"/>
    </row>
    <row r="27" spans="1:118" ht="15">
      <c r="A27" s="386" t="s">
        <v>264</v>
      </c>
      <c r="B27" s="9"/>
      <c r="C27" s="9"/>
      <c r="D27" s="237"/>
      <c r="E27" s="237"/>
      <c r="F27" s="238">
        <f t="shared" si="0"/>
        <v>0</v>
      </c>
      <c r="G27" s="321"/>
      <c r="H27" s="239">
        <f t="shared" si="1"/>
        <v>0</v>
      </c>
      <c r="I27" s="322"/>
      <c r="J27" s="240">
        <f t="shared" si="2"/>
        <v>0</v>
      </c>
      <c r="K27" s="323"/>
      <c r="L27" s="241">
        <f t="shared" si="3"/>
        <v>0</v>
      </c>
      <c r="M27" s="324"/>
      <c r="N27" s="242">
        <f t="shared" si="4"/>
        <v>0</v>
      </c>
      <c r="O27" s="324"/>
      <c r="P27" s="243">
        <f t="shared" si="5"/>
        <v>0</v>
      </c>
      <c r="Q27" s="324"/>
      <c r="R27" s="244">
        <f t="shared" si="6"/>
        <v>0</v>
      </c>
      <c r="S27" s="325"/>
      <c r="T27" s="245">
        <f t="shared" si="7"/>
        <v>0</v>
      </c>
      <c r="U27" s="326"/>
      <c r="V27" s="246">
        <f t="shared" si="8"/>
        <v>0</v>
      </c>
      <c r="W27" s="326"/>
      <c r="X27" s="247">
        <f t="shared" si="9"/>
        <v>0</v>
      </c>
      <c r="Y27" s="248">
        <f t="shared" si="61"/>
        <v>0</v>
      </c>
      <c r="Z27" s="249">
        <f t="shared" si="62"/>
        <v>0</v>
      </c>
      <c r="AA27" s="249">
        <f t="shared" si="63"/>
        <v>0</v>
      </c>
      <c r="AB27" s="250">
        <f t="shared" si="64"/>
        <v>0</v>
      </c>
      <c r="AC27" s="250">
        <f t="shared" si="65"/>
        <v>0</v>
      </c>
      <c r="AD27" s="250">
        <f t="shared" si="102"/>
        <v>0</v>
      </c>
      <c r="AE27" s="239">
        <f t="shared" si="15"/>
        <v>0</v>
      </c>
      <c r="AF27" s="251">
        <f t="shared" si="66"/>
        <v>0</v>
      </c>
      <c r="AG27" s="251">
        <f t="shared" si="67"/>
        <v>0</v>
      </c>
      <c r="AH27" s="251">
        <f t="shared" si="81"/>
        <v>0</v>
      </c>
      <c r="AI27" s="251">
        <f t="shared" si="68"/>
        <v>0</v>
      </c>
      <c r="AJ27" s="251">
        <f t="shared" si="69"/>
        <v>0</v>
      </c>
      <c r="AK27" s="251">
        <f t="shared" si="82"/>
        <v>0</v>
      </c>
      <c r="AL27" s="245">
        <f t="shared" si="20"/>
        <v>0</v>
      </c>
      <c r="AM27" s="252">
        <f t="shared" si="83"/>
        <v>0</v>
      </c>
      <c r="AN27" s="252">
        <f t="shared" si="70"/>
        <v>0</v>
      </c>
      <c r="AO27" s="252">
        <f t="shared" si="71"/>
        <v>0</v>
      </c>
      <c r="AP27" s="252">
        <f t="shared" si="72"/>
        <v>0</v>
      </c>
      <c r="AQ27" s="252">
        <f t="shared" si="73"/>
        <v>0</v>
      </c>
      <c r="AR27" s="252">
        <f t="shared" si="84"/>
        <v>0</v>
      </c>
      <c r="AS27" s="397"/>
      <c r="AT27" s="300"/>
      <c r="AU27" s="313"/>
      <c r="AV27" s="37"/>
      <c r="AW27" s="37"/>
      <c r="AX27" s="37"/>
      <c r="AY27" s="39"/>
      <c r="AZ27" s="158"/>
      <c r="BA27" s="131"/>
      <c r="BB27" s="131"/>
      <c r="BC27" s="131"/>
      <c r="BD27" s="131"/>
      <c r="BE27" s="257">
        <f t="shared" si="85"/>
        <v>2019</v>
      </c>
      <c r="BF27" s="258">
        <v>0</v>
      </c>
      <c r="BG27" s="259"/>
      <c r="BH27" s="260"/>
      <c r="BI27" s="261"/>
      <c r="BJ27" s="262"/>
      <c r="BK27" s="263"/>
      <c r="BL27" s="264">
        <f t="shared" si="86"/>
        <v>2019</v>
      </c>
      <c r="BM27" s="258">
        <v>0</v>
      </c>
      <c r="BN27" s="259"/>
      <c r="BO27" s="260"/>
      <c r="BP27" s="261"/>
      <c r="BQ27" s="262"/>
      <c r="BR27" s="263"/>
      <c r="BS27" s="265">
        <f t="shared" si="87"/>
        <v>2019</v>
      </c>
      <c r="BT27" s="301">
        <v>0</v>
      </c>
      <c r="BU27" s="259"/>
      <c r="BV27" s="260"/>
      <c r="BW27" s="261"/>
      <c r="BX27" s="262"/>
      <c r="BY27" s="263">
        <v>516</v>
      </c>
      <c r="BZ27" s="368" t="s">
        <v>265</v>
      </c>
      <c r="CA27" s="368" t="s">
        <v>266</v>
      </c>
      <c r="CB27" s="379">
        <f>AW60</f>
        <v>30.063493918427696</v>
      </c>
      <c r="CC27" s="266">
        <f t="shared" si="88"/>
        <v>2019</v>
      </c>
      <c r="CD27" s="267">
        <f t="shared" si="60"/>
        <v>516</v>
      </c>
      <c r="CE27" s="267">
        <f t="shared" si="89"/>
        <v>299.7955440300065</v>
      </c>
      <c r="CF27" s="267">
        <f t="shared" si="90"/>
        <v>0</v>
      </c>
      <c r="CG27" s="267">
        <f aca="true" t="shared" si="103" ref="CG27:CG42">IF(CB$5&gt;=CB$6,IF(CF27&gt;0,CB$8,IF(AND(CE27=0,CF26&lt;CB$8),CF26,CE27+CF26)),IF(CF27&gt;0,CB$9,IF(AND(CE27=0,CF26&lt;CB$9),CF26,CE27+CF26)))</f>
        <v>299.7955440300065</v>
      </c>
      <c r="CH27" s="267">
        <f t="shared" si="91"/>
        <v>208.37849340590617</v>
      </c>
      <c r="CI27" s="267">
        <f t="shared" si="92"/>
        <v>513.7638245074439</v>
      </c>
      <c r="CJ27" s="269">
        <f t="shared" si="93"/>
        <v>22.37521616255772</v>
      </c>
      <c r="CK27" s="269">
        <f t="shared" si="94"/>
        <v>2.9117112229630546</v>
      </c>
      <c r="CL27" s="270">
        <f t="shared" si="95"/>
        <v>2019</v>
      </c>
      <c r="CM27" s="271">
        <f t="shared" si="74"/>
        <v>6158.445727356005</v>
      </c>
      <c r="CN27" s="271">
        <f t="shared" si="96"/>
        <v>0</v>
      </c>
      <c r="CO27" s="271">
        <f t="shared" si="97"/>
        <v>0</v>
      </c>
      <c r="CP27" s="271">
        <f t="shared" si="75"/>
        <v>6400</v>
      </c>
      <c r="CQ27" s="271">
        <f t="shared" si="76"/>
        <v>149.89777201500326</v>
      </c>
      <c r="CR27" s="271">
        <f t="shared" si="77"/>
        <v>272.0741341083807</v>
      </c>
      <c r="CS27" s="271">
        <f t="shared" si="98"/>
        <v>-663.5261787673793</v>
      </c>
      <c r="CT27" s="271">
        <f t="shared" si="99"/>
        <v>0</v>
      </c>
      <c r="CU27" s="272">
        <f t="shared" si="100"/>
        <v>2019</v>
      </c>
      <c r="CV27" s="273">
        <f t="shared" si="78"/>
        <v>299.7955440300065</v>
      </c>
      <c r="CW27" s="273">
        <f t="shared" si="79"/>
        <v>0</v>
      </c>
      <c r="CX27" s="273">
        <f t="shared" si="80"/>
        <v>6821.971906123384</v>
      </c>
      <c r="CY27" s="273">
        <f>IF(CT26=0,0,IF(CT27&gt;0,0,IF(AND(SUM(CT$7:CT26)&gt;0,SUM(CT27:CT$100)=0),CB$42,0)))</f>
        <v>56000</v>
      </c>
      <c r="CZ27" s="273">
        <f>IF(CT26=0,0,IF(CT27&gt;0,0,IF(AND(SUM(CT$7:CT26)&gt;0,SUM(CT27:CT$100)=0),CB$41,0)))</f>
        <v>35999.76591220113</v>
      </c>
      <c r="DA27" s="273">
        <f>IF(SUM(CT$7:CT$100)=0,0,IF(SUM(CT27:CT$100)=0,CZ27-CY27,CM27-SUM(CN27:CR27)-CY27+CZ27))</f>
        <v>-20000.234087798868</v>
      </c>
      <c r="DB27" s="274">
        <f t="shared" si="101"/>
        <v>2019</v>
      </c>
      <c r="DC27" s="275">
        <f t="shared" si="55"/>
        <v>-7671.54877058807</v>
      </c>
      <c r="DD27" s="275">
        <f t="shared" si="56"/>
        <v>-1813.798301237059</v>
      </c>
      <c r="DE27" s="275">
        <f t="shared" si="57"/>
        <v>0</v>
      </c>
      <c r="DF27" s="275">
        <f t="shared" si="58"/>
        <v>0</v>
      </c>
      <c r="DG27" s="360">
        <f t="shared" si="59"/>
        <v>66.7285364599553</v>
      </c>
      <c r="DH27" s="233"/>
      <c r="DI27" s="233"/>
      <c r="DJ27" s="37"/>
      <c r="DK27" s="37"/>
      <c r="DL27" s="37"/>
      <c r="DM27" s="37"/>
      <c r="DN27" s="37"/>
    </row>
    <row r="28" spans="1:118" ht="20.25">
      <c r="A28" s="387"/>
      <c r="B28" s="327"/>
      <c r="C28" s="328"/>
      <c r="D28" s="237"/>
      <c r="E28" s="237"/>
      <c r="F28" s="238">
        <f t="shared" si="0"/>
        <v>0</v>
      </c>
      <c r="G28" s="329"/>
      <c r="H28" s="239">
        <f t="shared" si="1"/>
        <v>0</v>
      </c>
      <c r="I28" s="322"/>
      <c r="J28" s="240">
        <f t="shared" si="2"/>
        <v>0</v>
      </c>
      <c r="K28" s="323"/>
      <c r="L28" s="241">
        <f t="shared" si="3"/>
        <v>0</v>
      </c>
      <c r="M28" s="324"/>
      <c r="N28" s="242">
        <f t="shared" si="4"/>
        <v>0</v>
      </c>
      <c r="O28" s="324"/>
      <c r="P28" s="243">
        <f t="shared" si="5"/>
        <v>0</v>
      </c>
      <c r="Q28" s="324"/>
      <c r="R28" s="244">
        <f t="shared" si="6"/>
        <v>0</v>
      </c>
      <c r="S28" s="325"/>
      <c r="T28" s="245">
        <f t="shared" si="7"/>
        <v>0</v>
      </c>
      <c r="U28" s="326"/>
      <c r="V28" s="246">
        <f t="shared" si="8"/>
        <v>0</v>
      </c>
      <c r="W28" s="326"/>
      <c r="X28" s="247">
        <f t="shared" si="9"/>
        <v>0</v>
      </c>
      <c r="Y28" s="248">
        <f t="shared" si="61"/>
        <v>0</v>
      </c>
      <c r="Z28" s="249">
        <f t="shared" si="62"/>
        <v>0</v>
      </c>
      <c r="AA28" s="249">
        <f t="shared" si="63"/>
        <v>0</v>
      </c>
      <c r="AB28" s="250">
        <f t="shared" si="64"/>
        <v>0</v>
      </c>
      <c r="AC28" s="250">
        <f t="shared" si="65"/>
        <v>0</v>
      </c>
      <c r="AD28" s="250">
        <f t="shared" si="102"/>
        <v>0</v>
      </c>
      <c r="AE28" s="239">
        <f t="shared" si="15"/>
        <v>0</v>
      </c>
      <c r="AF28" s="251">
        <f t="shared" si="66"/>
        <v>0</v>
      </c>
      <c r="AG28" s="251">
        <f t="shared" si="67"/>
        <v>0</v>
      </c>
      <c r="AH28" s="251">
        <f t="shared" si="81"/>
        <v>0</v>
      </c>
      <c r="AI28" s="251">
        <f t="shared" si="68"/>
        <v>0</v>
      </c>
      <c r="AJ28" s="251">
        <f t="shared" si="69"/>
        <v>0</v>
      </c>
      <c r="AK28" s="251">
        <f t="shared" si="82"/>
        <v>0</v>
      </c>
      <c r="AL28" s="245">
        <f t="shared" si="20"/>
        <v>0</v>
      </c>
      <c r="AM28" s="252">
        <f t="shared" si="83"/>
        <v>0</v>
      </c>
      <c r="AN28" s="252">
        <f t="shared" si="70"/>
        <v>0</v>
      </c>
      <c r="AO28" s="252">
        <f t="shared" si="71"/>
        <v>0</v>
      </c>
      <c r="AP28" s="252">
        <f t="shared" si="72"/>
        <v>0</v>
      </c>
      <c r="AQ28" s="252">
        <f t="shared" si="73"/>
        <v>0</v>
      </c>
      <c r="AR28" s="252">
        <f t="shared" si="84"/>
        <v>0</v>
      </c>
      <c r="AS28" s="396" t="s">
        <v>267</v>
      </c>
      <c r="AT28" s="293">
        <f>SUM(AN7:AN100)</f>
        <v>47993.8439026067</v>
      </c>
      <c r="AU28" s="311"/>
      <c r="AV28" s="37"/>
      <c r="AW28" s="37"/>
      <c r="AX28" s="37"/>
      <c r="AY28" s="88" t="s">
        <v>268</v>
      </c>
      <c r="AZ28" s="308"/>
      <c r="BA28" s="131"/>
      <c r="BB28" s="131"/>
      <c r="BC28" s="131"/>
      <c r="BD28" s="131"/>
      <c r="BE28" s="257">
        <f t="shared" si="85"/>
        <v>2020</v>
      </c>
      <c r="BF28" s="258">
        <v>0</v>
      </c>
      <c r="BG28" s="259"/>
      <c r="BH28" s="260"/>
      <c r="BI28" s="261"/>
      <c r="BJ28" s="262"/>
      <c r="BK28" s="263"/>
      <c r="BL28" s="264">
        <f t="shared" si="86"/>
        <v>2020</v>
      </c>
      <c r="BM28" s="258">
        <v>0</v>
      </c>
      <c r="BN28" s="259"/>
      <c r="BO28" s="260"/>
      <c r="BP28" s="261"/>
      <c r="BQ28" s="262"/>
      <c r="BR28" s="263"/>
      <c r="BS28" s="265">
        <f t="shared" si="87"/>
        <v>2020</v>
      </c>
      <c r="BT28" s="301">
        <v>0</v>
      </c>
      <c r="BU28" s="259"/>
      <c r="BV28" s="260"/>
      <c r="BW28" s="261"/>
      <c r="BX28" s="262"/>
      <c r="BY28" s="263"/>
      <c r="BZ28" s="368" t="s">
        <v>269</v>
      </c>
      <c r="CA28" s="380"/>
      <c r="CB28" s="370">
        <f aca="true" t="shared" si="104" ref="CB28:CB35">IF(AND(CB$27&lt;=AY19,CB$27&gt;AY20),(((CB$27-AY20)/(AY19-AY20))*(AZ19-AZ20))+AZ20,0)</f>
        <v>0</v>
      </c>
      <c r="CC28" s="266">
        <f t="shared" si="88"/>
        <v>2020</v>
      </c>
      <c r="CD28" s="267">
        <f aca="true" t="shared" si="105" ref="CD28:CD43">IF(CB$12&lt;AW$36,BK28,IF(CB$12&lt;AW$38,BR28,BY28))</f>
        <v>0</v>
      </c>
      <c r="CE28" s="267">
        <f t="shared" si="89"/>
        <v>0</v>
      </c>
      <c r="CF28" s="267">
        <f t="shared" si="90"/>
        <v>0</v>
      </c>
      <c r="CG28" s="267">
        <f t="shared" si="103"/>
        <v>0</v>
      </c>
      <c r="CH28" s="267">
        <f t="shared" si="91"/>
        <v>0</v>
      </c>
      <c r="CI28" s="267">
        <f t="shared" si="92"/>
        <v>0</v>
      </c>
      <c r="CJ28" s="269">
        <f t="shared" si="93"/>
        <v>22.531842675695618</v>
      </c>
      <c r="CK28" s="269">
        <f t="shared" si="94"/>
        <v>2.9291814903008326</v>
      </c>
      <c r="CL28" s="270">
        <f t="shared" si="95"/>
        <v>2020</v>
      </c>
      <c r="CM28" s="271">
        <f t="shared" si="74"/>
        <v>0</v>
      </c>
      <c r="CN28" s="271">
        <f t="shared" si="96"/>
        <v>0</v>
      </c>
      <c r="CO28" s="271">
        <f t="shared" si="97"/>
        <v>0</v>
      </c>
      <c r="CP28" s="271">
        <f t="shared" si="75"/>
        <v>0</v>
      </c>
      <c r="CQ28" s="271">
        <f t="shared" si="76"/>
        <v>0</v>
      </c>
      <c r="CR28" s="271">
        <f t="shared" si="77"/>
        <v>0</v>
      </c>
      <c r="CS28" s="271">
        <f t="shared" si="98"/>
        <v>0</v>
      </c>
      <c r="CT28" s="271">
        <f t="shared" si="99"/>
        <v>0</v>
      </c>
      <c r="CU28" s="272">
        <f t="shared" si="100"/>
        <v>2020</v>
      </c>
      <c r="CV28" s="273">
        <f t="shared" si="78"/>
        <v>0</v>
      </c>
      <c r="CW28" s="273">
        <f t="shared" si="79"/>
        <v>0</v>
      </c>
      <c r="CX28" s="273">
        <f t="shared" si="80"/>
        <v>0</v>
      </c>
      <c r="CY28" s="273">
        <f>IF(CT27=0,0,IF(CT28&gt;0,0,IF(AND(SUM(CT$7:CT27)&gt;0,SUM(CT28:CT$100)=0),CB$42,0)))</f>
        <v>0</v>
      </c>
      <c r="CZ28" s="273">
        <f>IF(CT27=0,0,IF(CT28&gt;0,0,IF(AND(SUM(CT$7:CT27)&gt;0,SUM(CT28:CT$100)=0),CB$41,0)))</f>
        <v>0</v>
      </c>
      <c r="DA28" s="273">
        <f>IF(SUM(CT$7:CT$100)=0,0,IF(SUM(CT28:CT$100)=0,CZ28-CY28,CM28-SUM(CN28:CR28)-CY28+CZ28))</f>
        <v>0</v>
      </c>
      <c r="DB28" s="274">
        <f t="shared" si="101"/>
        <v>2020</v>
      </c>
      <c r="DC28" s="275">
        <f t="shared" si="55"/>
        <v>0</v>
      </c>
      <c r="DD28" s="275">
        <f t="shared" si="56"/>
        <v>0</v>
      </c>
      <c r="DE28" s="275">
        <f t="shared" si="57"/>
        <v>0</v>
      </c>
      <c r="DF28" s="275">
        <f t="shared" si="58"/>
        <v>0</v>
      </c>
      <c r="DG28" s="360">
        <f t="shared" si="59"/>
        <v>0</v>
      </c>
      <c r="DH28" s="175" t="s">
        <v>270</v>
      </c>
      <c r="DI28" s="176">
        <f>IF(SUM(DC7:DC100)&lt;0,-IF((CW7+(CW8*(1-CB55)))/SUM(CW7:CW100)&gt;0.1,(SUM(CW7:CW100)/20)/(1+AW8)^0.5,((CW7+(CW8*(1-CB55)))/2)/(1+AW8)^0.5),SUM(DD7:DD100))</f>
        <v>56514.96872269083</v>
      </c>
      <c r="DJ28" s="37"/>
      <c r="DK28" s="37"/>
      <c r="DL28" s="37"/>
      <c r="DM28" s="37"/>
      <c r="DN28" s="37"/>
    </row>
    <row r="29" spans="1:118" ht="20.25">
      <c r="A29" s="388" t="s">
        <v>271</v>
      </c>
      <c r="B29" s="327"/>
      <c r="C29" s="331"/>
      <c r="D29" s="237"/>
      <c r="E29" s="237"/>
      <c r="F29" s="238">
        <f t="shared" si="0"/>
        <v>0</v>
      </c>
      <c r="G29" s="329"/>
      <c r="H29" s="239">
        <f t="shared" si="1"/>
        <v>0</v>
      </c>
      <c r="I29" s="322"/>
      <c r="J29" s="240">
        <f t="shared" si="2"/>
        <v>0</v>
      </c>
      <c r="K29" s="323"/>
      <c r="L29" s="241">
        <f t="shared" si="3"/>
        <v>0</v>
      </c>
      <c r="M29" s="324"/>
      <c r="N29" s="242">
        <f t="shared" si="4"/>
        <v>0</v>
      </c>
      <c r="O29" s="324"/>
      <c r="P29" s="243">
        <f t="shared" si="5"/>
        <v>0</v>
      </c>
      <c r="Q29" s="324"/>
      <c r="R29" s="244">
        <f t="shared" si="6"/>
        <v>0</v>
      </c>
      <c r="S29" s="325"/>
      <c r="T29" s="245">
        <f t="shared" si="7"/>
        <v>0</v>
      </c>
      <c r="U29" s="326"/>
      <c r="V29" s="246">
        <f t="shared" si="8"/>
        <v>0</v>
      </c>
      <c r="W29" s="326"/>
      <c r="X29" s="247">
        <f t="shared" si="9"/>
        <v>0</v>
      </c>
      <c r="Y29" s="248">
        <f t="shared" si="61"/>
        <v>0</v>
      </c>
      <c r="Z29" s="249">
        <f t="shared" si="62"/>
        <v>0</v>
      </c>
      <c r="AA29" s="249">
        <f t="shared" si="63"/>
        <v>0</v>
      </c>
      <c r="AB29" s="250">
        <f t="shared" si="64"/>
        <v>0</v>
      </c>
      <c r="AC29" s="250">
        <f t="shared" si="65"/>
        <v>0</v>
      </c>
      <c r="AD29" s="250">
        <f t="shared" si="102"/>
        <v>0</v>
      </c>
      <c r="AE29" s="239">
        <f t="shared" si="15"/>
        <v>0</v>
      </c>
      <c r="AF29" s="251">
        <f t="shared" si="66"/>
        <v>0</v>
      </c>
      <c r="AG29" s="251">
        <f t="shared" si="67"/>
        <v>0</v>
      </c>
      <c r="AH29" s="251">
        <f t="shared" si="81"/>
        <v>0</v>
      </c>
      <c r="AI29" s="251">
        <f t="shared" si="68"/>
        <v>0</v>
      </c>
      <c r="AJ29" s="251">
        <f t="shared" si="69"/>
        <v>0</v>
      </c>
      <c r="AK29" s="251">
        <f t="shared" si="82"/>
        <v>0</v>
      </c>
      <c r="AL29" s="245">
        <f t="shared" si="20"/>
        <v>0</v>
      </c>
      <c r="AM29" s="252">
        <f t="shared" si="83"/>
        <v>0</v>
      </c>
      <c r="AN29" s="252">
        <f t="shared" si="70"/>
        <v>0</v>
      </c>
      <c r="AO29" s="252">
        <f t="shared" si="71"/>
        <v>0</v>
      </c>
      <c r="AP29" s="252">
        <f t="shared" si="72"/>
        <v>0</v>
      </c>
      <c r="AQ29" s="252">
        <f t="shared" si="73"/>
        <v>0</v>
      </c>
      <c r="AR29" s="252">
        <f t="shared" si="84"/>
        <v>0</v>
      </c>
      <c r="AS29" s="397"/>
      <c r="AT29" s="300"/>
      <c r="AU29" s="313"/>
      <c r="AV29" s="221" t="s">
        <v>272</v>
      </c>
      <c r="AW29" s="87"/>
      <c r="AX29" s="87"/>
      <c r="AY29" s="2" t="s">
        <v>273</v>
      </c>
      <c r="AZ29" s="4"/>
      <c r="BA29" s="131"/>
      <c r="BB29" s="131"/>
      <c r="BC29" s="131"/>
      <c r="BD29" s="131"/>
      <c r="BE29" s="257">
        <f t="shared" si="85"/>
        <v>2021</v>
      </c>
      <c r="BF29" s="258">
        <v>0</v>
      </c>
      <c r="BG29" s="259"/>
      <c r="BH29" s="260"/>
      <c r="BI29" s="261"/>
      <c r="BJ29" s="262"/>
      <c r="BK29" s="263"/>
      <c r="BL29" s="264">
        <f t="shared" si="86"/>
        <v>2021</v>
      </c>
      <c r="BM29" s="258">
        <v>0</v>
      </c>
      <c r="BN29" s="259"/>
      <c r="BO29" s="260"/>
      <c r="BP29" s="261"/>
      <c r="BQ29" s="262"/>
      <c r="BR29" s="263"/>
      <c r="BS29" s="265">
        <f t="shared" si="87"/>
        <v>2021</v>
      </c>
      <c r="BT29" s="301">
        <v>0</v>
      </c>
      <c r="BU29" s="259"/>
      <c r="BV29" s="260"/>
      <c r="BW29" s="261"/>
      <c r="BX29" s="262"/>
      <c r="BY29" s="263"/>
      <c r="BZ29" s="368" t="s">
        <v>269</v>
      </c>
      <c r="CA29" s="380"/>
      <c r="CB29" s="370">
        <f t="shared" si="104"/>
        <v>0</v>
      </c>
      <c r="CC29" s="266">
        <f t="shared" si="88"/>
        <v>2021</v>
      </c>
      <c r="CD29" s="267">
        <f t="shared" si="105"/>
        <v>0</v>
      </c>
      <c r="CE29" s="267">
        <f t="shared" si="89"/>
        <v>0</v>
      </c>
      <c r="CF29" s="267">
        <f t="shared" si="90"/>
        <v>0</v>
      </c>
      <c r="CG29" s="267">
        <f t="shared" si="103"/>
        <v>0</v>
      </c>
      <c r="CH29" s="267">
        <f t="shared" si="91"/>
        <v>0</v>
      </c>
      <c r="CI29" s="267">
        <f t="shared" si="92"/>
        <v>0</v>
      </c>
      <c r="CJ29" s="269">
        <f t="shared" si="93"/>
        <v>22.689565574425487</v>
      </c>
      <c r="CK29" s="269">
        <f t="shared" si="94"/>
        <v>2.946756579242638</v>
      </c>
      <c r="CL29" s="270">
        <f t="shared" si="95"/>
        <v>2021</v>
      </c>
      <c r="CM29" s="271">
        <f t="shared" si="74"/>
        <v>0</v>
      </c>
      <c r="CN29" s="271">
        <f t="shared" si="96"/>
        <v>0</v>
      </c>
      <c r="CO29" s="271">
        <f t="shared" si="97"/>
        <v>0</v>
      </c>
      <c r="CP29" s="271">
        <f t="shared" si="75"/>
        <v>0</v>
      </c>
      <c r="CQ29" s="271">
        <f t="shared" si="76"/>
        <v>0</v>
      </c>
      <c r="CR29" s="271">
        <f t="shared" si="77"/>
        <v>0</v>
      </c>
      <c r="CS29" s="271">
        <f t="shared" si="98"/>
        <v>0</v>
      </c>
      <c r="CT29" s="271">
        <f t="shared" si="99"/>
        <v>0</v>
      </c>
      <c r="CU29" s="272">
        <f t="shared" si="100"/>
        <v>2021</v>
      </c>
      <c r="CV29" s="273">
        <f t="shared" si="78"/>
        <v>0</v>
      </c>
      <c r="CW29" s="273">
        <f t="shared" si="79"/>
        <v>0</v>
      </c>
      <c r="CX29" s="273">
        <f t="shared" si="80"/>
        <v>0</v>
      </c>
      <c r="CY29" s="273">
        <f>IF(CT28=0,0,IF(CT29&gt;0,0,IF(AND(SUM(CT$7:CT28)&gt;0,SUM(CT29:CT$100)=0),CB$42,0)))</f>
        <v>0</v>
      </c>
      <c r="CZ29" s="273">
        <f>IF(CT28=0,0,IF(CT29&gt;0,0,IF(AND(SUM(CT$7:CT28)&gt;0,SUM(CT29:CT$100)=0),CB$41,0)))</f>
        <v>0</v>
      </c>
      <c r="DA29" s="273">
        <f>IF(SUM(CT$7:CT$100)=0,0,IF(SUM(CT29:CT$100)=0,CZ29-CY29,CM29-SUM(CN29:CR29)-CY29+CZ29))</f>
        <v>0</v>
      </c>
      <c r="DB29" s="274">
        <f t="shared" si="101"/>
        <v>2021</v>
      </c>
      <c r="DC29" s="275">
        <f t="shared" si="55"/>
        <v>0</v>
      </c>
      <c r="DD29" s="275">
        <f t="shared" si="56"/>
        <v>0</v>
      </c>
      <c r="DE29" s="275">
        <f t="shared" si="57"/>
        <v>0</v>
      </c>
      <c r="DF29" s="275">
        <f t="shared" si="58"/>
        <v>0</v>
      </c>
      <c r="DG29" s="360">
        <f t="shared" si="59"/>
        <v>0</v>
      </c>
      <c r="DH29" s="233"/>
      <c r="DI29" s="233"/>
      <c r="DJ29" s="233"/>
      <c r="DK29" s="233"/>
      <c r="DL29" s="37"/>
      <c r="DM29" s="37"/>
      <c r="DN29" s="37"/>
    </row>
    <row r="30" spans="1:118" ht="15">
      <c r="A30" s="330"/>
      <c r="B30" s="327"/>
      <c r="C30" s="331"/>
      <c r="D30" s="237"/>
      <c r="E30" s="237"/>
      <c r="F30" s="238">
        <f t="shared" si="0"/>
        <v>0</v>
      </c>
      <c r="G30" s="329"/>
      <c r="H30" s="239">
        <f t="shared" si="1"/>
        <v>0</v>
      </c>
      <c r="I30" s="322"/>
      <c r="J30" s="240">
        <f t="shared" si="2"/>
        <v>0</v>
      </c>
      <c r="K30" s="323"/>
      <c r="L30" s="241">
        <f t="shared" si="3"/>
        <v>0</v>
      </c>
      <c r="M30" s="324"/>
      <c r="N30" s="242">
        <f t="shared" si="4"/>
        <v>0</v>
      </c>
      <c r="O30" s="324"/>
      <c r="P30" s="243">
        <f t="shared" si="5"/>
        <v>0</v>
      </c>
      <c r="Q30" s="324"/>
      <c r="R30" s="244">
        <f t="shared" si="6"/>
        <v>0</v>
      </c>
      <c r="S30" s="325"/>
      <c r="T30" s="245">
        <f t="shared" si="7"/>
        <v>0</v>
      </c>
      <c r="U30" s="326"/>
      <c r="V30" s="246">
        <f t="shared" si="8"/>
        <v>0</v>
      </c>
      <c r="W30" s="326"/>
      <c r="X30" s="247">
        <f t="shared" si="9"/>
        <v>0</v>
      </c>
      <c r="Y30" s="248">
        <f t="shared" si="61"/>
        <v>0</v>
      </c>
      <c r="Z30" s="249">
        <f t="shared" si="62"/>
        <v>0</v>
      </c>
      <c r="AA30" s="249">
        <f t="shared" si="63"/>
        <v>0</v>
      </c>
      <c r="AB30" s="250">
        <f t="shared" si="64"/>
        <v>0</v>
      </c>
      <c r="AC30" s="250">
        <f t="shared" si="65"/>
        <v>0</v>
      </c>
      <c r="AD30" s="250">
        <f t="shared" si="102"/>
        <v>0</v>
      </c>
      <c r="AE30" s="239">
        <f t="shared" si="15"/>
        <v>0</v>
      </c>
      <c r="AF30" s="251">
        <f t="shared" si="66"/>
        <v>0</v>
      </c>
      <c r="AG30" s="251">
        <f t="shared" si="67"/>
        <v>0</v>
      </c>
      <c r="AH30" s="251">
        <f t="shared" si="81"/>
        <v>0</v>
      </c>
      <c r="AI30" s="251">
        <f t="shared" si="68"/>
        <v>0</v>
      </c>
      <c r="AJ30" s="251">
        <f t="shared" si="69"/>
        <v>0</v>
      </c>
      <c r="AK30" s="251">
        <f t="shared" si="82"/>
        <v>0</v>
      </c>
      <c r="AL30" s="245">
        <f t="shared" si="20"/>
        <v>0</v>
      </c>
      <c r="AM30" s="252">
        <f t="shared" si="83"/>
        <v>0</v>
      </c>
      <c r="AN30" s="252">
        <f t="shared" si="70"/>
        <v>0</v>
      </c>
      <c r="AO30" s="252">
        <f t="shared" si="71"/>
        <v>0</v>
      </c>
      <c r="AP30" s="252">
        <f t="shared" si="72"/>
        <v>0</v>
      </c>
      <c r="AQ30" s="252">
        <f t="shared" si="73"/>
        <v>0</v>
      </c>
      <c r="AR30" s="252">
        <f t="shared" si="84"/>
        <v>0</v>
      </c>
      <c r="AS30" s="396" t="s">
        <v>274</v>
      </c>
      <c r="AT30" s="293">
        <f>SUM(AO7:AO100)</f>
        <v>100066.46752130943</v>
      </c>
      <c r="AU30" s="311"/>
      <c r="AV30" s="37"/>
      <c r="AW30" s="37"/>
      <c r="AX30" s="37"/>
      <c r="AY30" s="39"/>
      <c r="AZ30" s="158"/>
      <c r="BA30" s="131"/>
      <c r="BB30" s="131"/>
      <c r="BC30" s="131"/>
      <c r="BD30" s="131"/>
      <c r="BE30" s="257">
        <f t="shared" si="85"/>
        <v>2022</v>
      </c>
      <c r="BF30" s="258">
        <v>0</v>
      </c>
      <c r="BG30" s="259"/>
      <c r="BH30" s="260"/>
      <c r="BI30" s="261"/>
      <c r="BJ30" s="262"/>
      <c r="BK30" s="263"/>
      <c r="BL30" s="264">
        <f t="shared" si="86"/>
        <v>2022</v>
      </c>
      <c r="BM30" s="258">
        <v>0</v>
      </c>
      <c r="BN30" s="259"/>
      <c r="BO30" s="260"/>
      <c r="BP30" s="261"/>
      <c r="BQ30" s="262"/>
      <c r="BR30" s="263"/>
      <c r="BS30" s="265">
        <f t="shared" si="87"/>
        <v>2022</v>
      </c>
      <c r="BT30" s="301">
        <v>0</v>
      </c>
      <c r="BU30" s="259"/>
      <c r="BV30" s="260"/>
      <c r="BW30" s="261"/>
      <c r="BX30" s="262"/>
      <c r="BY30" s="263"/>
      <c r="BZ30" s="368" t="s">
        <v>269</v>
      </c>
      <c r="CA30" s="380"/>
      <c r="CB30" s="370">
        <f t="shared" si="104"/>
        <v>0</v>
      </c>
      <c r="CC30" s="266">
        <f t="shared" si="88"/>
        <v>2022</v>
      </c>
      <c r="CD30" s="267">
        <f t="shared" si="105"/>
        <v>0</v>
      </c>
      <c r="CE30" s="267">
        <f t="shared" si="89"/>
        <v>0</v>
      </c>
      <c r="CF30" s="267">
        <f t="shared" si="90"/>
        <v>0</v>
      </c>
      <c r="CG30" s="267">
        <f t="shared" si="103"/>
        <v>0</v>
      </c>
      <c r="CH30" s="267">
        <f t="shared" si="91"/>
        <v>0</v>
      </c>
      <c r="CI30" s="267">
        <f t="shared" si="92"/>
        <v>0</v>
      </c>
      <c r="CJ30" s="269">
        <f t="shared" si="93"/>
        <v>22.84839253344646</v>
      </c>
      <c r="CK30" s="269">
        <f t="shared" si="94"/>
        <v>2.964437118718094</v>
      </c>
      <c r="CL30" s="270">
        <f t="shared" si="95"/>
        <v>2022</v>
      </c>
      <c r="CM30" s="271">
        <f t="shared" si="74"/>
        <v>0</v>
      </c>
      <c r="CN30" s="271">
        <f t="shared" si="96"/>
        <v>0</v>
      </c>
      <c r="CO30" s="271">
        <f t="shared" si="97"/>
        <v>0</v>
      </c>
      <c r="CP30" s="271">
        <f t="shared" si="75"/>
        <v>0</v>
      </c>
      <c r="CQ30" s="271">
        <f t="shared" si="76"/>
        <v>0</v>
      </c>
      <c r="CR30" s="271">
        <f t="shared" si="77"/>
        <v>0</v>
      </c>
      <c r="CS30" s="271">
        <f t="shared" si="98"/>
        <v>0</v>
      </c>
      <c r="CT30" s="271">
        <f t="shared" si="99"/>
        <v>0</v>
      </c>
      <c r="CU30" s="272">
        <f t="shared" si="100"/>
        <v>2022</v>
      </c>
      <c r="CV30" s="273">
        <f t="shared" si="78"/>
        <v>0</v>
      </c>
      <c r="CW30" s="273">
        <f t="shared" si="79"/>
        <v>0</v>
      </c>
      <c r="CX30" s="273">
        <f t="shared" si="80"/>
        <v>0</v>
      </c>
      <c r="CY30" s="273">
        <f>IF(CT29=0,0,IF(CT30&gt;0,0,IF(AND(SUM(CT$7:CT29)&gt;0,SUM(CT30:CT$100)=0),CB$42,0)))</f>
        <v>0</v>
      </c>
      <c r="CZ30" s="273">
        <f>IF(CT29=0,0,IF(CT30&gt;0,0,IF(AND(SUM(CT$7:CT29)&gt;0,SUM(CT30:CT$100)=0),CB$41,0)))</f>
        <v>0</v>
      </c>
      <c r="DA30" s="273">
        <f>IF(SUM(CT$7:CT$100)=0,0,IF(SUM(CT30:CT$100)=0,CZ30-CY30,CM30-SUM(CN30:CR30)-CY30+CZ30))</f>
        <v>0</v>
      </c>
      <c r="DB30" s="274">
        <f t="shared" si="101"/>
        <v>2022</v>
      </c>
      <c r="DC30" s="275">
        <f t="shared" si="55"/>
        <v>0</v>
      </c>
      <c r="DD30" s="275">
        <f t="shared" si="56"/>
        <v>0</v>
      </c>
      <c r="DE30" s="275">
        <f t="shared" si="57"/>
        <v>0</v>
      </c>
      <c r="DF30" s="275">
        <f t="shared" si="58"/>
        <v>0</v>
      </c>
      <c r="DG30" s="360">
        <f t="shared" si="59"/>
        <v>0</v>
      </c>
      <c r="DH30" s="232"/>
      <c r="DI30" s="233"/>
      <c r="DJ30" s="233"/>
      <c r="DK30" s="233"/>
      <c r="DL30" s="37"/>
      <c r="DM30" s="37"/>
      <c r="DN30" s="37"/>
    </row>
    <row r="31" spans="1:118" ht="15">
      <c r="A31" s="330"/>
      <c r="B31" s="327"/>
      <c r="C31" s="331"/>
      <c r="D31" s="237"/>
      <c r="E31" s="237"/>
      <c r="F31" s="238">
        <f t="shared" si="0"/>
        <v>0</v>
      </c>
      <c r="G31" s="329"/>
      <c r="H31" s="239">
        <f t="shared" si="1"/>
        <v>0</v>
      </c>
      <c r="I31" s="322"/>
      <c r="J31" s="240">
        <f t="shared" si="2"/>
        <v>0</v>
      </c>
      <c r="K31" s="323"/>
      <c r="L31" s="241">
        <f t="shared" si="3"/>
        <v>0</v>
      </c>
      <c r="M31" s="324"/>
      <c r="N31" s="242">
        <f t="shared" si="4"/>
        <v>0</v>
      </c>
      <c r="O31" s="324"/>
      <c r="P31" s="243">
        <f t="shared" si="5"/>
        <v>0</v>
      </c>
      <c r="Q31" s="324"/>
      <c r="R31" s="244">
        <f t="shared" si="6"/>
        <v>0</v>
      </c>
      <c r="S31" s="325"/>
      <c r="T31" s="245">
        <f t="shared" si="7"/>
        <v>0</v>
      </c>
      <c r="U31" s="326"/>
      <c r="V31" s="246">
        <f t="shared" si="8"/>
        <v>0</v>
      </c>
      <c r="W31" s="326"/>
      <c r="X31" s="247">
        <f t="shared" si="9"/>
        <v>0</v>
      </c>
      <c r="Y31" s="248">
        <f t="shared" si="61"/>
        <v>0</v>
      </c>
      <c r="Z31" s="249">
        <f t="shared" si="62"/>
        <v>0</v>
      </c>
      <c r="AA31" s="249">
        <f t="shared" si="63"/>
        <v>0</v>
      </c>
      <c r="AB31" s="250">
        <f t="shared" si="64"/>
        <v>0</v>
      </c>
      <c r="AC31" s="250">
        <f t="shared" si="65"/>
        <v>0</v>
      </c>
      <c r="AD31" s="250">
        <f t="shared" si="102"/>
        <v>0</v>
      </c>
      <c r="AE31" s="239">
        <f t="shared" si="15"/>
        <v>0</v>
      </c>
      <c r="AF31" s="251">
        <f t="shared" si="66"/>
        <v>0</v>
      </c>
      <c r="AG31" s="251">
        <f t="shared" si="67"/>
        <v>0</v>
      </c>
      <c r="AH31" s="251">
        <f t="shared" si="81"/>
        <v>0</v>
      </c>
      <c r="AI31" s="251">
        <f t="shared" si="68"/>
        <v>0</v>
      </c>
      <c r="AJ31" s="251">
        <f t="shared" si="69"/>
        <v>0</v>
      </c>
      <c r="AK31" s="251">
        <f t="shared" si="82"/>
        <v>0</v>
      </c>
      <c r="AL31" s="245">
        <f t="shared" si="20"/>
        <v>0</v>
      </c>
      <c r="AM31" s="252">
        <f t="shared" si="83"/>
        <v>0</v>
      </c>
      <c r="AN31" s="252">
        <f t="shared" si="70"/>
        <v>0</v>
      </c>
      <c r="AO31" s="252">
        <f t="shared" si="71"/>
        <v>0</v>
      </c>
      <c r="AP31" s="252">
        <f t="shared" si="72"/>
        <v>0</v>
      </c>
      <c r="AQ31" s="252">
        <f t="shared" si="73"/>
        <v>0</v>
      </c>
      <c r="AR31" s="252">
        <f t="shared" si="84"/>
        <v>0</v>
      </c>
      <c r="AS31" s="397"/>
      <c r="AT31" s="300"/>
      <c r="AU31" s="313"/>
      <c r="AV31" s="5" t="s">
        <v>275</v>
      </c>
      <c r="AW31" s="6"/>
      <c r="AX31" s="6"/>
      <c r="AY31" s="449" t="s">
        <v>276</v>
      </c>
      <c r="AZ31" s="447">
        <v>2000</v>
      </c>
      <c r="BA31" s="131"/>
      <c r="BB31" s="131"/>
      <c r="BC31" s="131"/>
      <c r="BD31" s="131"/>
      <c r="BE31" s="257">
        <f t="shared" si="85"/>
        <v>2023</v>
      </c>
      <c r="BF31" s="258">
        <v>0</v>
      </c>
      <c r="BG31" s="259"/>
      <c r="BH31" s="260"/>
      <c r="BI31" s="261"/>
      <c r="BJ31" s="262"/>
      <c r="BK31" s="263"/>
      <c r="BL31" s="264">
        <f t="shared" si="86"/>
        <v>2023</v>
      </c>
      <c r="BM31" s="258">
        <v>0</v>
      </c>
      <c r="BN31" s="259"/>
      <c r="BO31" s="260"/>
      <c r="BP31" s="261"/>
      <c r="BQ31" s="262"/>
      <c r="BR31" s="263"/>
      <c r="BS31" s="265">
        <f t="shared" si="87"/>
        <v>2023</v>
      </c>
      <c r="BT31" s="301">
        <v>0</v>
      </c>
      <c r="BU31" s="259"/>
      <c r="BV31" s="260"/>
      <c r="BW31" s="261"/>
      <c r="BX31" s="262"/>
      <c r="BY31" s="263"/>
      <c r="BZ31" s="368" t="s">
        <v>269</v>
      </c>
      <c r="CA31" s="380"/>
      <c r="CB31" s="370">
        <f t="shared" si="104"/>
        <v>0.009524087764154386</v>
      </c>
      <c r="CC31" s="266">
        <f t="shared" si="88"/>
        <v>2023</v>
      </c>
      <c r="CD31" s="267">
        <f t="shared" si="105"/>
        <v>0</v>
      </c>
      <c r="CE31" s="267">
        <f t="shared" si="89"/>
        <v>0</v>
      </c>
      <c r="CF31" s="267">
        <f t="shared" si="90"/>
        <v>0</v>
      </c>
      <c r="CG31" s="267">
        <f t="shared" si="103"/>
        <v>0</v>
      </c>
      <c r="CH31" s="267">
        <f t="shared" si="91"/>
        <v>0</v>
      </c>
      <c r="CI31" s="267">
        <f t="shared" si="92"/>
        <v>0</v>
      </c>
      <c r="CJ31" s="269">
        <f t="shared" si="93"/>
        <v>23.008331281180585</v>
      </c>
      <c r="CK31" s="269">
        <f t="shared" si="94"/>
        <v>2.9822237414304023</v>
      </c>
      <c r="CL31" s="270">
        <f t="shared" si="95"/>
        <v>2023</v>
      </c>
      <c r="CM31" s="271">
        <f t="shared" si="74"/>
        <v>0</v>
      </c>
      <c r="CN31" s="271">
        <f t="shared" si="96"/>
        <v>0</v>
      </c>
      <c r="CO31" s="271">
        <f t="shared" si="97"/>
        <v>0</v>
      </c>
      <c r="CP31" s="271">
        <f t="shared" si="75"/>
        <v>0</v>
      </c>
      <c r="CQ31" s="271">
        <f t="shared" si="76"/>
        <v>0</v>
      </c>
      <c r="CR31" s="271">
        <f t="shared" si="77"/>
        <v>0</v>
      </c>
      <c r="CS31" s="271">
        <f t="shared" si="98"/>
        <v>0</v>
      </c>
      <c r="CT31" s="271">
        <f t="shared" si="99"/>
        <v>0</v>
      </c>
      <c r="CU31" s="272">
        <f t="shared" si="100"/>
        <v>2023</v>
      </c>
      <c r="CV31" s="273">
        <f t="shared" si="78"/>
        <v>0</v>
      </c>
      <c r="CW31" s="273">
        <f t="shared" si="79"/>
        <v>0</v>
      </c>
      <c r="CX31" s="273">
        <f t="shared" si="80"/>
        <v>0</v>
      </c>
      <c r="CY31" s="273">
        <f>IF(CT30=0,0,IF(CT31&gt;0,0,IF(AND(SUM(CT$7:CT30)&gt;0,SUM(CT31:CT$100)=0),CB$42,0)))</f>
        <v>0</v>
      </c>
      <c r="CZ31" s="273">
        <f>IF(CT30=0,0,IF(CT31&gt;0,0,IF(AND(SUM(CT$7:CT30)&gt;0,SUM(CT31:CT$100)=0),CB$41,0)))</f>
        <v>0</v>
      </c>
      <c r="DA31" s="273">
        <f>IF(SUM(CT$7:CT$100)=0,0,IF(SUM(CT31:CT$100)=0,CZ31-CY31,CM31-SUM(CN31:CR31)-CY31+CZ31))</f>
        <v>0</v>
      </c>
      <c r="DB31" s="274">
        <f t="shared" si="101"/>
        <v>2023</v>
      </c>
      <c r="DC31" s="275">
        <f t="shared" si="55"/>
        <v>0</v>
      </c>
      <c r="DD31" s="275">
        <f t="shared" si="56"/>
        <v>0</v>
      </c>
      <c r="DE31" s="275">
        <f t="shared" si="57"/>
        <v>0</v>
      </c>
      <c r="DF31" s="275">
        <f t="shared" si="58"/>
        <v>0</v>
      </c>
      <c r="DG31" s="360">
        <f t="shared" si="59"/>
        <v>0</v>
      </c>
      <c r="DH31" s="56"/>
      <c r="DI31" s="56"/>
      <c r="DJ31" s="233"/>
      <c r="DK31" s="233"/>
      <c r="DL31" s="37"/>
      <c r="DM31" s="37"/>
      <c r="DN31" s="37"/>
    </row>
    <row r="32" spans="1:118" ht="15">
      <c r="A32" s="211"/>
      <c r="B32" s="327"/>
      <c r="C32" s="331"/>
      <c r="D32" s="237"/>
      <c r="E32" s="237"/>
      <c r="F32" s="238">
        <f t="shared" si="0"/>
        <v>0</v>
      </c>
      <c r="G32" s="329"/>
      <c r="H32" s="239">
        <f t="shared" si="1"/>
        <v>0</v>
      </c>
      <c r="I32" s="322"/>
      <c r="J32" s="240">
        <f t="shared" si="2"/>
        <v>0</v>
      </c>
      <c r="K32" s="323"/>
      <c r="L32" s="241">
        <f t="shared" si="3"/>
        <v>0</v>
      </c>
      <c r="M32" s="324"/>
      <c r="N32" s="242">
        <f t="shared" si="4"/>
        <v>0</v>
      </c>
      <c r="O32" s="324"/>
      <c r="P32" s="243">
        <f t="shared" si="5"/>
        <v>0</v>
      </c>
      <c r="Q32" s="324"/>
      <c r="R32" s="244">
        <f t="shared" si="6"/>
        <v>0</v>
      </c>
      <c r="S32" s="325"/>
      <c r="T32" s="245">
        <f t="shared" si="7"/>
        <v>0</v>
      </c>
      <c r="U32" s="326"/>
      <c r="V32" s="246">
        <f t="shared" si="8"/>
        <v>0</v>
      </c>
      <c r="W32" s="326"/>
      <c r="X32" s="247">
        <f t="shared" si="9"/>
        <v>0</v>
      </c>
      <c r="Y32" s="248">
        <f t="shared" si="61"/>
        <v>0</v>
      </c>
      <c r="Z32" s="249">
        <f t="shared" si="62"/>
        <v>0</v>
      </c>
      <c r="AA32" s="249">
        <f t="shared" si="63"/>
        <v>0</v>
      </c>
      <c r="AB32" s="250">
        <f t="shared" si="64"/>
        <v>0</v>
      </c>
      <c r="AC32" s="250">
        <f t="shared" si="65"/>
        <v>0</v>
      </c>
      <c r="AD32" s="250">
        <f t="shared" si="102"/>
        <v>0</v>
      </c>
      <c r="AE32" s="239">
        <f t="shared" si="15"/>
        <v>0</v>
      </c>
      <c r="AF32" s="251">
        <f t="shared" si="66"/>
        <v>0</v>
      </c>
      <c r="AG32" s="251">
        <f t="shared" si="67"/>
        <v>0</v>
      </c>
      <c r="AH32" s="251">
        <f t="shared" si="81"/>
        <v>0</v>
      </c>
      <c r="AI32" s="251">
        <f t="shared" si="68"/>
        <v>0</v>
      </c>
      <c r="AJ32" s="251">
        <f t="shared" si="69"/>
        <v>0</v>
      </c>
      <c r="AK32" s="251">
        <f t="shared" si="82"/>
        <v>0</v>
      </c>
      <c r="AL32" s="245">
        <f t="shared" si="20"/>
        <v>0</v>
      </c>
      <c r="AM32" s="252">
        <f t="shared" si="83"/>
        <v>0</v>
      </c>
      <c r="AN32" s="252">
        <f t="shared" si="70"/>
        <v>0</v>
      </c>
      <c r="AO32" s="252">
        <f t="shared" si="71"/>
        <v>0</v>
      </c>
      <c r="AP32" s="252">
        <f t="shared" si="72"/>
        <v>0</v>
      </c>
      <c r="AQ32" s="252">
        <f t="shared" si="73"/>
        <v>0</v>
      </c>
      <c r="AR32" s="252">
        <f t="shared" si="84"/>
        <v>0</v>
      </c>
      <c r="AS32" s="396" t="s">
        <v>277</v>
      </c>
      <c r="AT32" s="293">
        <f>SUM(AP7:AP100)</f>
        <v>65799.2651697436</v>
      </c>
      <c r="AU32" s="311"/>
      <c r="AV32" s="5" t="s">
        <v>278</v>
      </c>
      <c r="AW32" s="6"/>
      <c r="AX32" s="6"/>
      <c r="AY32" s="412" t="s">
        <v>279</v>
      </c>
      <c r="AZ32" s="462">
        <v>2.32</v>
      </c>
      <c r="BA32" s="131"/>
      <c r="BB32" s="131"/>
      <c r="BC32" s="131"/>
      <c r="BD32" s="131"/>
      <c r="BE32" s="257">
        <f t="shared" si="85"/>
        <v>2024</v>
      </c>
      <c r="BF32" s="258">
        <v>0</v>
      </c>
      <c r="BG32" s="259"/>
      <c r="BH32" s="260"/>
      <c r="BI32" s="261"/>
      <c r="BJ32" s="262"/>
      <c r="BK32" s="263"/>
      <c r="BL32" s="264">
        <f t="shared" si="86"/>
        <v>2024</v>
      </c>
      <c r="BM32" s="258">
        <v>0</v>
      </c>
      <c r="BN32" s="259"/>
      <c r="BO32" s="260"/>
      <c r="BP32" s="261"/>
      <c r="BQ32" s="262"/>
      <c r="BR32" s="263"/>
      <c r="BS32" s="265">
        <f t="shared" si="87"/>
        <v>2024</v>
      </c>
      <c r="BT32" s="301">
        <v>0</v>
      </c>
      <c r="BU32" s="259"/>
      <c r="BV32" s="260"/>
      <c r="BW32" s="261"/>
      <c r="BX32" s="262"/>
      <c r="BY32" s="263"/>
      <c r="BZ32" s="368" t="s">
        <v>269</v>
      </c>
      <c r="CA32" s="380"/>
      <c r="CB32" s="370">
        <f t="shared" si="104"/>
        <v>0</v>
      </c>
      <c r="CC32" s="266">
        <f t="shared" si="88"/>
        <v>2024</v>
      </c>
      <c r="CD32" s="267">
        <f t="shared" si="105"/>
        <v>0</v>
      </c>
      <c r="CE32" s="267">
        <f t="shared" si="89"/>
        <v>0</v>
      </c>
      <c r="CF32" s="267">
        <f t="shared" si="90"/>
        <v>0</v>
      </c>
      <c r="CG32" s="267">
        <f t="shared" si="103"/>
        <v>0</v>
      </c>
      <c r="CH32" s="267">
        <f t="shared" si="91"/>
        <v>0</v>
      </c>
      <c r="CI32" s="267">
        <f t="shared" si="92"/>
        <v>0</v>
      </c>
      <c r="CJ32" s="269">
        <f t="shared" si="93"/>
        <v>23.169389600148847</v>
      </c>
      <c r="CK32" s="269">
        <f t="shared" si="94"/>
        <v>3.000117083878984</v>
      </c>
      <c r="CL32" s="270">
        <f t="shared" si="95"/>
        <v>2024</v>
      </c>
      <c r="CM32" s="271">
        <f t="shared" si="74"/>
        <v>0</v>
      </c>
      <c r="CN32" s="271">
        <f t="shared" si="96"/>
        <v>0</v>
      </c>
      <c r="CO32" s="271">
        <f t="shared" si="97"/>
        <v>0</v>
      </c>
      <c r="CP32" s="271">
        <f t="shared" si="75"/>
        <v>0</v>
      </c>
      <c r="CQ32" s="271">
        <f t="shared" si="76"/>
        <v>0</v>
      </c>
      <c r="CR32" s="271">
        <f t="shared" si="77"/>
        <v>0</v>
      </c>
      <c r="CS32" s="271">
        <f t="shared" si="98"/>
        <v>0</v>
      </c>
      <c r="CT32" s="271">
        <f t="shared" si="99"/>
        <v>0</v>
      </c>
      <c r="CU32" s="272">
        <f t="shared" si="100"/>
        <v>2024</v>
      </c>
      <c r="CV32" s="273">
        <f t="shared" si="78"/>
        <v>0</v>
      </c>
      <c r="CW32" s="273">
        <f t="shared" si="79"/>
        <v>0</v>
      </c>
      <c r="CX32" s="273">
        <f t="shared" si="80"/>
        <v>0</v>
      </c>
      <c r="CY32" s="273">
        <f>IF(CT31=0,0,IF(CT32&gt;0,0,IF(AND(SUM(CT$7:CT31)&gt;0,SUM(CT32:CT$100)=0),CB$42,0)))</f>
        <v>0</v>
      </c>
      <c r="CZ32" s="273">
        <f>IF(CT31=0,0,IF(CT32&gt;0,0,IF(AND(SUM(CT$7:CT31)&gt;0,SUM(CT32:CT$100)=0),CB$41,0)))</f>
        <v>0</v>
      </c>
      <c r="DA32" s="273">
        <f>IF(SUM(CT$7:CT$100)=0,0,IF(SUM(CT32:CT$100)=0,CZ32-CY32,CM32-SUM(CN32:CR32)-CY32+CZ32))</f>
        <v>0</v>
      </c>
      <c r="DB32" s="274">
        <f t="shared" si="101"/>
        <v>2024</v>
      </c>
      <c r="DC32" s="275">
        <f t="shared" si="55"/>
        <v>0</v>
      </c>
      <c r="DD32" s="275">
        <f t="shared" si="56"/>
        <v>0</v>
      </c>
      <c r="DE32" s="275">
        <f t="shared" si="57"/>
        <v>0</v>
      </c>
      <c r="DF32" s="275">
        <f t="shared" si="58"/>
        <v>0</v>
      </c>
      <c r="DG32" s="360">
        <f t="shared" si="59"/>
        <v>0</v>
      </c>
      <c r="DH32" s="56"/>
      <c r="DI32" s="233"/>
      <c r="DJ32" s="233"/>
      <c r="DK32" s="233"/>
      <c r="DL32" s="37"/>
      <c r="DM32" s="37"/>
      <c r="DN32" s="37"/>
    </row>
    <row r="33" spans="1:118" ht="20.25">
      <c r="A33" s="389" t="s">
        <v>280</v>
      </c>
      <c r="B33" s="327"/>
      <c r="C33" s="331"/>
      <c r="D33" s="237"/>
      <c r="E33" s="237"/>
      <c r="F33" s="238">
        <f t="shared" si="0"/>
        <v>0</v>
      </c>
      <c r="G33" s="329"/>
      <c r="H33" s="239">
        <f t="shared" si="1"/>
        <v>0</v>
      </c>
      <c r="I33" s="322"/>
      <c r="J33" s="240">
        <f t="shared" si="2"/>
        <v>0</v>
      </c>
      <c r="K33" s="323"/>
      <c r="L33" s="241">
        <f t="shared" si="3"/>
        <v>0</v>
      </c>
      <c r="M33" s="324"/>
      <c r="N33" s="242">
        <f t="shared" si="4"/>
        <v>0</v>
      </c>
      <c r="O33" s="324"/>
      <c r="P33" s="243">
        <f t="shared" si="5"/>
        <v>0</v>
      </c>
      <c r="Q33" s="324"/>
      <c r="R33" s="244">
        <f t="shared" si="6"/>
        <v>0</v>
      </c>
      <c r="S33" s="325"/>
      <c r="T33" s="245">
        <f t="shared" si="7"/>
        <v>0</v>
      </c>
      <c r="U33" s="326"/>
      <c r="V33" s="246">
        <f t="shared" si="8"/>
        <v>0</v>
      </c>
      <c r="W33" s="326"/>
      <c r="X33" s="247">
        <f t="shared" si="9"/>
        <v>0</v>
      </c>
      <c r="Y33" s="248">
        <f t="shared" si="61"/>
        <v>0</v>
      </c>
      <c r="Z33" s="249">
        <f t="shared" si="62"/>
        <v>0</v>
      </c>
      <c r="AA33" s="249">
        <f t="shared" si="63"/>
        <v>0</v>
      </c>
      <c r="AB33" s="250">
        <f t="shared" si="64"/>
        <v>0</v>
      </c>
      <c r="AC33" s="250">
        <f t="shared" si="65"/>
        <v>0</v>
      </c>
      <c r="AD33" s="250">
        <f t="shared" si="102"/>
        <v>0</v>
      </c>
      <c r="AE33" s="239">
        <f t="shared" si="15"/>
        <v>0</v>
      </c>
      <c r="AF33" s="251">
        <f t="shared" si="66"/>
        <v>0</v>
      </c>
      <c r="AG33" s="251">
        <f t="shared" si="67"/>
        <v>0</v>
      </c>
      <c r="AH33" s="251">
        <f t="shared" si="81"/>
        <v>0</v>
      </c>
      <c r="AI33" s="251">
        <f t="shared" si="68"/>
        <v>0</v>
      </c>
      <c r="AJ33" s="251">
        <f t="shared" si="69"/>
        <v>0</v>
      </c>
      <c r="AK33" s="251">
        <f t="shared" si="82"/>
        <v>0</v>
      </c>
      <c r="AL33" s="245">
        <f t="shared" si="20"/>
        <v>0</v>
      </c>
      <c r="AM33" s="252">
        <f t="shared" si="83"/>
        <v>0</v>
      </c>
      <c r="AN33" s="252">
        <f t="shared" si="70"/>
        <v>0</v>
      </c>
      <c r="AO33" s="252">
        <f t="shared" si="71"/>
        <v>0</v>
      </c>
      <c r="AP33" s="252">
        <f t="shared" si="72"/>
        <v>0</v>
      </c>
      <c r="AQ33" s="252">
        <f t="shared" si="73"/>
        <v>0</v>
      </c>
      <c r="AR33" s="252">
        <f t="shared" si="84"/>
        <v>0</v>
      </c>
      <c r="AS33" s="397"/>
      <c r="AT33" s="193"/>
      <c r="AU33" s="313"/>
      <c r="AV33" s="37"/>
      <c r="AW33" s="37"/>
      <c r="AX33" s="37"/>
      <c r="AY33" s="412" t="s">
        <v>281</v>
      </c>
      <c r="AZ33" s="463">
        <v>0.023882991989294423</v>
      </c>
      <c r="BA33" s="131"/>
      <c r="BB33" s="131"/>
      <c r="BC33" s="131"/>
      <c r="BD33" s="131"/>
      <c r="BE33" s="257">
        <f t="shared" si="85"/>
        <v>2025</v>
      </c>
      <c r="BF33" s="258">
        <v>0</v>
      </c>
      <c r="BG33" s="259"/>
      <c r="BH33" s="260"/>
      <c r="BI33" s="261"/>
      <c r="BJ33" s="262"/>
      <c r="BK33" s="263"/>
      <c r="BL33" s="264">
        <f t="shared" si="86"/>
        <v>2025</v>
      </c>
      <c r="BM33" s="258">
        <v>0</v>
      </c>
      <c r="BN33" s="259"/>
      <c r="BO33" s="260"/>
      <c r="BP33" s="261"/>
      <c r="BQ33" s="262"/>
      <c r="BR33" s="263"/>
      <c r="BS33" s="265">
        <f t="shared" si="87"/>
        <v>2025</v>
      </c>
      <c r="BT33" s="301">
        <v>0</v>
      </c>
      <c r="BU33" s="259"/>
      <c r="BV33" s="260"/>
      <c r="BW33" s="261"/>
      <c r="BX33" s="262"/>
      <c r="BY33" s="263"/>
      <c r="BZ33" s="368" t="s">
        <v>269</v>
      </c>
      <c r="CA33" s="380"/>
      <c r="CB33" s="370">
        <f t="shared" si="104"/>
        <v>0</v>
      </c>
      <c r="CC33" s="266">
        <f t="shared" si="88"/>
        <v>2025</v>
      </c>
      <c r="CD33" s="267">
        <f t="shared" si="105"/>
        <v>0</v>
      </c>
      <c r="CE33" s="267">
        <f t="shared" si="89"/>
        <v>0</v>
      </c>
      <c r="CF33" s="267">
        <f t="shared" si="90"/>
        <v>0</v>
      </c>
      <c r="CG33" s="267">
        <f t="shared" si="103"/>
        <v>0</v>
      </c>
      <c r="CH33" s="267">
        <f t="shared" si="91"/>
        <v>0</v>
      </c>
      <c r="CI33" s="267">
        <f t="shared" si="92"/>
        <v>0</v>
      </c>
      <c r="CJ33" s="269">
        <f t="shared" si="93"/>
        <v>23.331575327349885</v>
      </c>
      <c r="CK33" s="269">
        <f t="shared" si="94"/>
        <v>3.0181177863822586</v>
      </c>
      <c r="CL33" s="270">
        <f t="shared" si="95"/>
        <v>2025</v>
      </c>
      <c r="CM33" s="271">
        <f t="shared" si="74"/>
        <v>0</v>
      </c>
      <c r="CN33" s="271">
        <f t="shared" si="96"/>
        <v>0</v>
      </c>
      <c r="CO33" s="271">
        <f t="shared" si="97"/>
        <v>0</v>
      </c>
      <c r="CP33" s="271">
        <f t="shared" si="75"/>
        <v>0</v>
      </c>
      <c r="CQ33" s="271">
        <f t="shared" si="76"/>
        <v>0</v>
      </c>
      <c r="CR33" s="271">
        <f t="shared" si="77"/>
        <v>0</v>
      </c>
      <c r="CS33" s="271">
        <f t="shared" si="98"/>
        <v>0</v>
      </c>
      <c r="CT33" s="271">
        <f t="shared" si="99"/>
        <v>0</v>
      </c>
      <c r="CU33" s="272">
        <f t="shared" si="100"/>
        <v>2025</v>
      </c>
      <c r="CV33" s="273">
        <f t="shared" si="78"/>
        <v>0</v>
      </c>
      <c r="CW33" s="273">
        <f t="shared" si="79"/>
        <v>0</v>
      </c>
      <c r="CX33" s="273">
        <f t="shared" si="80"/>
        <v>0</v>
      </c>
      <c r="CY33" s="273">
        <f>IF(CT32=0,0,IF(CT33&gt;0,0,IF(AND(SUM(CT$7:CT32)&gt;0,SUM(CT33:CT$100)=0),CB$42,0)))</f>
        <v>0</v>
      </c>
      <c r="CZ33" s="273">
        <f>IF(CT32=0,0,IF(CT33&gt;0,0,IF(AND(SUM(CT$7:CT32)&gt;0,SUM(CT33:CT$100)=0),CB$41,0)))</f>
        <v>0</v>
      </c>
      <c r="DA33" s="273">
        <f>IF(SUM(CT$7:CT$100)=0,0,IF(SUM(CT33:CT$100)=0,CZ33-CY33,CM33-SUM(CN33:CR33)-CY33+CZ33))</f>
        <v>0</v>
      </c>
      <c r="DB33" s="274">
        <f t="shared" si="101"/>
        <v>2025</v>
      </c>
      <c r="DC33" s="275">
        <f t="shared" si="55"/>
        <v>0</v>
      </c>
      <c r="DD33" s="275">
        <f t="shared" si="56"/>
        <v>0</v>
      </c>
      <c r="DE33" s="275">
        <f t="shared" si="57"/>
        <v>0</v>
      </c>
      <c r="DF33" s="275">
        <f t="shared" si="58"/>
        <v>0</v>
      </c>
      <c r="DG33" s="360">
        <f t="shared" si="59"/>
        <v>0</v>
      </c>
      <c r="DH33" s="233"/>
      <c r="DI33" s="233"/>
      <c r="DJ33" s="233"/>
      <c r="DK33" s="233"/>
      <c r="DL33" s="37"/>
      <c r="DM33" s="37"/>
      <c r="DN33" s="37"/>
    </row>
    <row r="34" spans="1:118" ht="15">
      <c r="A34" s="211"/>
      <c r="B34" s="327"/>
      <c r="C34" s="331"/>
      <c r="D34" s="237"/>
      <c r="E34" s="237"/>
      <c r="F34" s="238">
        <f t="shared" si="0"/>
        <v>0</v>
      </c>
      <c r="G34" s="329"/>
      <c r="H34" s="239">
        <f t="shared" si="1"/>
        <v>0</v>
      </c>
      <c r="I34" s="322"/>
      <c r="J34" s="240">
        <f t="shared" si="2"/>
        <v>0</v>
      </c>
      <c r="K34" s="323"/>
      <c r="L34" s="241">
        <f t="shared" si="3"/>
        <v>0</v>
      </c>
      <c r="M34" s="324"/>
      <c r="N34" s="242">
        <f t="shared" si="4"/>
        <v>0</v>
      </c>
      <c r="O34" s="324"/>
      <c r="P34" s="243">
        <f t="shared" si="5"/>
        <v>0</v>
      </c>
      <c r="Q34" s="324"/>
      <c r="R34" s="244">
        <f t="shared" si="6"/>
        <v>0</v>
      </c>
      <c r="S34" s="325"/>
      <c r="T34" s="245">
        <f t="shared" si="7"/>
        <v>0</v>
      </c>
      <c r="U34" s="326"/>
      <c r="V34" s="246">
        <f t="shared" si="8"/>
        <v>0</v>
      </c>
      <c r="W34" s="326"/>
      <c r="X34" s="247">
        <f t="shared" si="9"/>
        <v>0</v>
      </c>
      <c r="Y34" s="248">
        <f t="shared" si="61"/>
        <v>0</v>
      </c>
      <c r="Z34" s="249">
        <f t="shared" si="62"/>
        <v>0</v>
      </c>
      <c r="AA34" s="249">
        <f t="shared" si="63"/>
        <v>0</v>
      </c>
      <c r="AB34" s="250">
        <f t="shared" si="64"/>
        <v>0</v>
      </c>
      <c r="AC34" s="250">
        <f t="shared" si="65"/>
        <v>0</v>
      </c>
      <c r="AD34" s="250">
        <f t="shared" si="102"/>
        <v>0</v>
      </c>
      <c r="AE34" s="239">
        <f t="shared" si="15"/>
        <v>0</v>
      </c>
      <c r="AF34" s="251">
        <f t="shared" si="66"/>
        <v>0</v>
      </c>
      <c r="AG34" s="251">
        <f t="shared" si="67"/>
        <v>0</v>
      </c>
      <c r="AH34" s="251">
        <f t="shared" si="81"/>
        <v>0</v>
      </c>
      <c r="AI34" s="251">
        <f t="shared" si="68"/>
        <v>0</v>
      </c>
      <c r="AJ34" s="251">
        <f t="shared" si="69"/>
        <v>0</v>
      </c>
      <c r="AK34" s="251">
        <f t="shared" si="82"/>
        <v>0</v>
      </c>
      <c r="AL34" s="245">
        <f t="shared" si="20"/>
        <v>0</v>
      </c>
      <c r="AM34" s="252">
        <f t="shared" si="83"/>
        <v>0</v>
      </c>
      <c r="AN34" s="252">
        <f t="shared" si="70"/>
        <v>0</v>
      </c>
      <c r="AO34" s="252">
        <f t="shared" si="71"/>
        <v>0</v>
      </c>
      <c r="AP34" s="252">
        <f t="shared" si="72"/>
        <v>0</v>
      </c>
      <c r="AQ34" s="252">
        <f t="shared" si="73"/>
        <v>0</v>
      </c>
      <c r="AR34" s="252">
        <f t="shared" si="84"/>
        <v>0</v>
      </c>
      <c r="AS34" s="396" t="s">
        <v>282</v>
      </c>
      <c r="AT34" s="332">
        <f>IF(AT32=0,0,(AT28/AT32))</f>
        <v>0.7293978706114131</v>
      </c>
      <c r="AU34" s="311"/>
      <c r="AV34" s="402" t="s">
        <v>283</v>
      </c>
      <c r="AW34" s="403">
        <f>AW24</f>
        <v>5094</v>
      </c>
      <c r="AX34" s="404" t="s">
        <v>284</v>
      </c>
      <c r="AY34" s="413"/>
      <c r="AZ34" s="158"/>
      <c r="BA34" s="131"/>
      <c r="BB34" s="131"/>
      <c r="BC34" s="131"/>
      <c r="BD34" s="131"/>
      <c r="BE34" s="257">
        <f t="shared" si="85"/>
        <v>2026</v>
      </c>
      <c r="BF34" s="258">
        <v>0</v>
      </c>
      <c r="BG34" s="259"/>
      <c r="BH34" s="260"/>
      <c r="BI34" s="261"/>
      <c r="BJ34" s="262"/>
      <c r="BK34" s="263"/>
      <c r="BL34" s="264">
        <f t="shared" si="86"/>
        <v>2026</v>
      </c>
      <c r="BM34" s="258">
        <v>0</v>
      </c>
      <c r="BN34" s="259"/>
      <c r="BO34" s="260"/>
      <c r="BP34" s="261"/>
      <c r="BQ34" s="262"/>
      <c r="BR34" s="263"/>
      <c r="BS34" s="265">
        <f t="shared" si="87"/>
        <v>2026</v>
      </c>
      <c r="BT34" s="301">
        <v>0</v>
      </c>
      <c r="BU34" s="259"/>
      <c r="BV34" s="260"/>
      <c r="BW34" s="261"/>
      <c r="BX34" s="262"/>
      <c r="BY34" s="263"/>
      <c r="BZ34" s="368" t="s">
        <v>269</v>
      </c>
      <c r="CA34" s="380"/>
      <c r="CB34" s="370">
        <f t="shared" si="104"/>
        <v>0</v>
      </c>
      <c r="CC34" s="266">
        <f t="shared" si="88"/>
        <v>2026</v>
      </c>
      <c r="CD34" s="267">
        <f t="shared" si="105"/>
        <v>0</v>
      </c>
      <c r="CE34" s="267">
        <f t="shared" si="89"/>
        <v>0</v>
      </c>
      <c r="CF34" s="267">
        <f t="shared" si="90"/>
        <v>0</v>
      </c>
      <c r="CG34" s="267">
        <f t="shared" si="103"/>
        <v>0</v>
      </c>
      <c r="CH34" s="267">
        <f t="shared" si="91"/>
        <v>0</v>
      </c>
      <c r="CI34" s="267">
        <f t="shared" si="92"/>
        <v>0</v>
      </c>
      <c r="CJ34" s="269">
        <f t="shared" si="93"/>
        <v>23.494896354641327</v>
      </c>
      <c r="CK34" s="269">
        <f t="shared" si="94"/>
        <v>3.036226493100552</v>
      </c>
      <c r="CL34" s="270">
        <f t="shared" si="95"/>
        <v>2026</v>
      </c>
      <c r="CM34" s="271">
        <f t="shared" si="74"/>
        <v>0</v>
      </c>
      <c r="CN34" s="271">
        <f t="shared" si="96"/>
        <v>0</v>
      </c>
      <c r="CO34" s="271">
        <f t="shared" si="97"/>
        <v>0</v>
      </c>
      <c r="CP34" s="271">
        <f t="shared" si="75"/>
        <v>0</v>
      </c>
      <c r="CQ34" s="271">
        <f t="shared" si="76"/>
        <v>0</v>
      </c>
      <c r="CR34" s="271">
        <f t="shared" si="77"/>
        <v>0</v>
      </c>
      <c r="CS34" s="271">
        <f t="shared" si="98"/>
        <v>0</v>
      </c>
      <c r="CT34" s="271">
        <f t="shared" si="99"/>
        <v>0</v>
      </c>
      <c r="CU34" s="272">
        <f t="shared" si="100"/>
        <v>2026</v>
      </c>
      <c r="CV34" s="273">
        <f t="shared" si="78"/>
        <v>0</v>
      </c>
      <c r="CW34" s="273">
        <f t="shared" si="79"/>
        <v>0</v>
      </c>
      <c r="CX34" s="273">
        <f t="shared" si="80"/>
        <v>0</v>
      </c>
      <c r="CY34" s="273">
        <f>IF(CT33=0,0,IF(CT34&gt;0,0,IF(AND(SUM(CT$7:CT33)&gt;0,SUM(CT34:CT$100)=0),CB$42,0)))</f>
        <v>0</v>
      </c>
      <c r="CZ34" s="273">
        <f>IF(CT33=0,0,IF(CT34&gt;0,0,IF(AND(SUM(CT$7:CT33)&gt;0,SUM(CT34:CT$100)=0),CB$41,0)))</f>
        <v>0</v>
      </c>
      <c r="DA34" s="273">
        <f>IF(SUM(CT$7:CT$100)=0,0,IF(SUM(CT34:CT$100)=0,CZ34-CY34,CM34-SUM(CN34:CR34)-CY34+CZ34))</f>
        <v>0</v>
      </c>
      <c r="DB34" s="274">
        <f t="shared" si="101"/>
        <v>2026</v>
      </c>
      <c r="DC34" s="275">
        <f t="shared" si="55"/>
        <v>0</v>
      </c>
      <c r="DD34" s="275">
        <f t="shared" si="56"/>
        <v>0</v>
      </c>
      <c r="DE34" s="275">
        <f t="shared" si="57"/>
        <v>0</v>
      </c>
      <c r="DF34" s="275">
        <f t="shared" si="58"/>
        <v>0</v>
      </c>
      <c r="DG34" s="360">
        <f t="shared" si="59"/>
        <v>0</v>
      </c>
      <c r="DH34" s="232"/>
      <c r="DI34" s="233"/>
      <c r="DJ34" s="233"/>
      <c r="DK34" s="233"/>
      <c r="DL34" s="37"/>
      <c r="DM34" s="37"/>
      <c r="DN34" s="37"/>
    </row>
    <row r="35" spans="1:118" ht="15">
      <c r="A35" s="390" t="s">
        <v>285</v>
      </c>
      <c r="B35" s="327"/>
      <c r="C35" s="331"/>
      <c r="D35" s="237"/>
      <c r="E35" s="237"/>
      <c r="F35" s="238">
        <f t="shared" si="0"/>
        <v>0</v>
      </c>
      <c r="G35" s="329"/>
      <c r="H35" s="239">
        <f t="shared" si="1"/>
        <v>0</v>
      </c>
      <c r="I35" s="322"/>
      <c r="J35" s="240">
        <f t="shared" si="2"/>
        <v>0</v>
      </c>
      <c r="K35" s="323"/>
      <c r="L35" s="241">
        <f t="shared" si="3"/>
        <v>0</v>
      </c>
      <c r="M35" s="324"/>
      <c r="N35" s="242">
        <f t="shared" si="4"/>
        <v>0</v>
      </c>
      <c r="O35" s="324"/>
      <c r="P35" s="243">
        <f t="shared" si="5"/>
        <v>0</v>
      </c>
      <c r="Q35" s="324"/>
      <c r="R35" s="244">
        <f t="shared" si="6"/>
        <v>0</v>
      </c>
      <c r="S35" s="325"/>
      <c r="T35" s="245">
        <f t="shared" si="7"/>
        <v>0</v>
      </c>
      <c r="U35" s="326"/>
      <c r="V35" s="246">
        <f t="shared" si="8"/>
        <v>0</v>
      </c>
      <c r="W35" s="326"/>
      <c r="X35" s="247">
        <f t="shared" si="9"/>
        <v>0</v>
      </c>
      <c r="Y35" s="248">
        <f t="shared" si="61"/>
        <v>0</v>
      </c>
      <c r="Z35" s="249">
        <f t="shared" si="62"/>
        <v>0</v>
      </c>
      <c r="AA35" s="249">
        <f t="shared" si="63"/>
        <v>0</v>
      </c>
      <c r="AB35" s="250">
        <f t="shared" si="64"/>
        <v>0</v>
      </c>
      <c r="AC35" s="250">
        <f t="shared" si="65"/>
        <v>0</v>
      </c>
      <c r="AD35" s="250">
        <f t="shared" si="102"/>
        <v>0</v>
      </c>
      <c r="AE35" s="239">
        <f t="shared" si="15"/>
        <v>0</v>
      </c>
      <c r="AF35" s="251">
        <f t="shared" si="66"/>
        <v>0</v>
      </c>
      <c r="AG35" s="251">
        <f t="shared" si="67"/>
        <v>0</v>
      </c>
      <c r="AH35" s="251">
        <f t="shared" si="81"/>
        <v>0</v>
      </c>
      <c r="AI35" s="251">
        <f t="shared" si="68"/>
        <v>0</v>
      </c>
      <c r="AJ35" s="251">
        <f t="shared" si="69"/>
        <v>0</v>
      </c>
      <c r="AK35" s="251">
        <f t="shared" si="82"/>
        <v>0</v>
      </c>
      <c r="AL35" s="245">
        <f t="shared" si="20"/>
        <v>0</v>
      </c>
      <c r="AM35" s="252">
        <f t="shared" si="83"/>
        <v>0</v>
      </c>
      <c r="AN35" s="252">
        <f t="shared" si="70"/>
        <v>0</v>
      </c>
      <c r="AO35" s="252">
        <f t="shared" si="71"/>
        <v>0</v>
      </c>
      <c r="AP35" s="252">
        <f t="shared" si="72"/>
        <v>0</v>
      </c>
      <c r="AQ35" s="252">
        <f t="shared" si="73"/>
        <v>0</v>
      </c>
      <c r="AR35" s="252">
        <f t="shared" si="84"/>
        <v>0</v>
      </c>
      <c r="AS35" s="35"/>
      <c r="AT35" s="35"/>
      <c r="AU35" s="313"/>
      <c r="AV35" s="295"/>
      <c r="AW35" s="177"/>
      <c r="AX35" s="255"/>
      <c r="AY35" s="412" t="s">
        <v>286</v>
      </c>
      <c r="AZ35" s="281">
        <v>2005</v>
      </c>
      <c r="BA35" s="131"/>
      <c r="BB35" s="131"/>
      <c r="BC35" s="131"/>
      <c r="BD35" s="131"/>
      <c r="BE35" s="257">
        <f t="shared" si="85"/>
        <v>2027</v>
      </c>
      <c r="BF35" s="258">
        <v>0</v>
      </c>
      <c r="BG35" s="259"/>
      <c r="BH35" s="260"/>
      <c r="BI35" s="261"/>
      <c r="BJ35" s="262"/>
      <c r="BK35" s="263"/>
      <c r="BL35" s="264">
        <f t="shared" si="86"/>
        <v>2027</v>
      </c>
      <c r="BM35" s="258">
        <v>0</v>
      </c>
      <c r="BN35" s="259"/>
      <c r="BO35" s="260"/>
      <c r="BP35" s="261"/>
      <c r="BQ35" s="262"/>
      <c r="BR35" s="263"/>
      <c r="BS35" s="265">
        <f t="shared" si="87"/>
        <v>2027</v>
      </c>
      <c r="BT35" s="301">
        <v>0</v>
      </c>
      <c r="BU35" s="259"/>
      <c r="BV35" s="260"/>
      <c r="BW35" s="261"/>
      <c r="BX35" s="262"/>
      <c r="BY35" s="263"/>
      <c r="BZ35" s="368" t="s">
        <v>269</v>
      </c>
      <c r="CA35" s="380"/>
      <c r="CB35" s="370">
        <f t="shared" si="104"/>
        <v>0</v>
      </c>
      <c r="CC35" s="266">
        <f t="shared" si="88"/>
        <v>2027</v>
      </c>
      <c r="CD35" s="267">
        <f t="shared" si="105"/>
        <v>0</v>
      </c>
      <c r="CE35" s="267">
        <f t="shared" si="89"/>
        <v>0</v>
      </c>
      <c r="CF35" s="267">
        <f t="shared" si="90"/>
        <v>0</v>
      </c>
      <c r="CG35" s="267">
        <f t="shared" si="103"/>
        <v>0</v>
      </c>
      <c r="CH35" s="267">
        <f t="shared" si="91"/>
        <v>0</v>
      </c>
      <c r="CI35" s="267">
        <f t="shared" si="92"/>
        <v>0</v>
      </c>
      <c r="CJ35" s="269">
        <f t="shared" si="93"/>
        <v>23.659360629123817</v>
      </c>
      <c r="CK35" s="269">
        <f t="shared" si="94"/>
        <v>3.0544438520591557</v>
      </c>
      <c r="CL35" s="270">
        <f t="shared" si="95"/>
        <v>2027</v>
      </c>
      <c r="CM35" s="271">
        <f t="shared" si="74"/>
        <v>0</v>
      </c>
      <c r="CN35" s="271">
        <f t="shared" si="96"/>
        <v>0</v>
      </c>
      <c r="CO35" s="271">
        <f t="shared" si="97"/>
        <v>0</v>
      </c>
      <c r="CP35" s="271">
        <f t="shared" si="75"/>
        <v>0</v>
      </c>
      <c r="CQ35" s="271">
        <f t="shared" si="76"/>
        <v>0</v>
      </c>
      <c r="CR35" s="271">
        <f t="shared" si="77"/>
        <v>0</v>
      </c>
      <c r="CS35" s="271">
        <f t="shared" si="98"/>
        <v>0</v>
      </c>
      <c r="CT35" s="271">
        <f t="shared" si="99"/>
        <v>0</v>
      </c>
      <c r="CU35" s="272">
        <f t="shared" si="100"/>
        <v>2027</v>
      </c>
      <c r="CV35" s="273">
        <f t="shared" si="78"/>
        <v>0</v>
      </c>
      <c r="CW35" s="273">
        <f t="shared" si="79"/>
        <v>0</v>
      </c>
      <c r="CX35" s="273">
        <f t="shared" si="80"/>
        <v>0</v>
      </c>
      <c r="CY35" s="273">
        <f>IF(CT34=0,0,IF(CT35&gt;0,0,IF(AND(SUM(CT$7:CT34)&gt;0,SUM(CT35:CT$100)=0),CB$42,0)))</f>
        <v>0</v>
      </c>
      <c r="CZ35" s="273">
        <f>IF(CT34=0,0,IF(CT35&gt;0,0,IF(AND(SUM(CT$7:CT34)&gt;0,SUM(CT35:CT$100)=0),CB$41,0)))</f>
        <v>0</v>
      </c>
      <c r="DA35" s="273">
        <f>IF(SUM(CT$7:CT$100)=0,0,IF(SUM(CT35:CT$100)=0,CZ35-CY35,CM35-SUM(CN35:CR35)-CY35+CZ35))</f>
        <v>0</v>
      </c>
      <c r="DB35" s="274">
        <f t="shared" si="101"/>
        <v>2027</v>
      </c>
      <c r="DC35" s="275">
        <f t="shared" si="55"/>
        <v>0</v>
      </c>
      <c r="DD35" s="275">
        <f t="shared" si="56"/>
        <v>0</v>
      </c>
      <c r="DE35" s="275">
        <f t="shared" si="57"/>
        <v>0</v>
      </c>
      <c r="DF35" s="275">
        <f t="shared" si="58"/>
        <v>0</v>
      </c>
      <c r="DG35" s="360">
        <f t="shared" si="59"/>
        <v>0</v>
      </c>
      <c r="DH35" s="233"/>
      <c r="DI35" s="233"/>
      <c r="DJ35" s="233"/>
      <c r="DK35" s="233"/>
      <c r="DL35" s="37"/>
      <c r="DM35" s="37"/>
      <c r="DN35" s="37"/>
    </row>
    <row r="36" spans="1:118" ht="15">
      <c r="A36" s="333">
        <v>5.62</v>
      </c>
      <c r="B36" s="327"/>
      <c r="C36" s="331"/>
      <c r="D36" s="237"/>
      <c r="E36" s="237"/>
      <c r="F36" s="238">
        <f t="shared" si="0"/>
        <v>0</v>
      </c>
      <c r="G36" s="329"/>
      <c r="H36" s="239">
        <f t="shared" si="1"/>
        <v>0</v>
      </c>
      <c r="I36" s="322"/>
      <c r="J36" s="240">
        <f t="shared" si="2"/>
        <v>0</v>
      </c>
      <c r="K36" s="323"/>
      <c r="L36" s="241">
        <f t="shared" si="3"/>
        <v>0</v>
      </c>
      <c r="M36" s="324"/>
      <c r="N36" s="242">
        <f t="shared" si="4"/>
        <v>0</v>
      </c>
      <c r="O36" s="324"/>
      <c r="P36" s="243">
        <f t="shared" si="5"/>
        <v>0</v>
      </c>
      <c r="Q36" s="324"/>
      <c r="R36" s="244">
        <f t="shared" si="6"/>
        <v>0</v>
      </c>
      <c r="S36" s="325"/>
      <c r="T36" s="245">
        <f t="shared" si="7"/>
        <v>0</v>
      </c>
      <c r="U36" s="326"/>
      <c r="V36" s="246">
        <f t="shared" si="8"/>
        <v>0</v>
      </c>
      <c r="W36" s="326"/>
      <c r="X36" s="247">
        <f t="shared" si="9"/>
        <v>0</v>
      </c>
      <c r="Y36" s="248">
        <f t="shared" si="61"/>
        <v>0</v>
      </c>
      <c r="Z36" s="249">
        <f t="shared" si="62"/>
        <v>0</v>
      </c>
      <c r="AA36" s="249">
        <f t="shared" si="63"/>
        <v>0</v>
      </c>
      <c r="AB36" s="250">
        <f t="shared" si="64"/>
        <v>0</v>
      </c>
      <c r="AC36" s="250">
        <f t="shared" si="65"/>
        <v>0</v>
      </c>
      <c r="AD36" s="250">
        <f t="shared" si="102"/>
        <v>0</v>
      </c>
      <c r="AE36" s="239">
        <f t="shared" si="15"/>
        <v>0</v>
      </c>
      <c r="AF36" s="251">
        <f t="shared" si="66"/>
        <v>0</v>
      </c>
      <c r="AG36" s="251">
        <f t="shared" si="67"/>
        <v>0</v>
      </c>
      <c r="AH36" s="251">
        <f t="shared" si="81"/>
        <v>0</v>
      </c>
      <c r="AI36" s="251">
        <f t="shared" si="68"/>
        <v>0</v>
      </c>
      <c r="AJ36" s="251">
        <f t="shared" si="69"/>
        <v>0</v>
      </c>
      <c r="AK36" s="251">
        <f t="shared" si="82"/>
        <v>0</v>
      </c>
      <c r="AL36" s="245">
        <f t="shared" si="20"/>
        <v>0</v>
      </c>
      <c r="AM36" s="252">
        <f t="shared" si="83"/>
        <v>0</v>
      </c>
      <c r="AN36" s="252">
        <f t="shared" si="70"/>
        <v>0</v>
      </c>
      <c r="AO36" s="252">
        <f t="shared" si="71"/>
        <v>0</v>
      </c>
      <c r="AP36" s="252">
        <f t="shared" si="72"/>
        <v>0</v>
      </c>
      <c r="AQ36" s="252">
        <f t="shared" si="73"/>
        <v>0</v>
      </c>
      <c r="AR36" s="252">
        <f t="shared" si="84"/>
        <v>0</v>
      </c>
      <c r="AS36" s="35"/>
      <c r="AT36" s="35"/>
      <c r="AU36" s="311"/>
      <c r="AV36" s="402" t="s">
        <v>287</v>
      </c>
      <c r="AW36" s="317">
        <v>52500</v>
      </c>
      <c r="AX36" s="404" t="s">
        <v>98</v>
      </c>
      <c r="AY36" s="412" t="s">
        <v>288</v>
      </c>
      <c r="AZ36" s="463">
        <v>0.012</v>
      </c>
      <c r="BA36" s="131"/>
      <c r="BB36" s="131"/>
      <c r="BC36" s="131"/>
      <c r="BD36" s="131"/>
      <c r="BE36" s="257">
        <f t="shared" si="85"/>
        <v>2028</v>
      </c>
      <c r="BF36" s="258">
        <v>0</v>
      </c>
      <c r="BG36" s="259"/>
      <c r="BH36" s="260"/>
      <c r="BI36" s="261"/>
      <c r="BJ36" s="262"/>
      <c r="BK36" s="263"/>
      <c r="BL36" s="264">
        <f t="shared" si="86"/>
        <v>2028</v>
      </c>
      <c r="BM36" s="258">
        <v>0</v>
      </c>
      <c r="BN36" s="259"/>
      <c r="BO36" s="260"/>
      <c r="BP36" s="261"/>
      <c r="BQ36" s="262"/>
      <c r="BR36" s="263"/>
      <c r="BS36" s="265">
        <f t="shared" si="87"/>
        <v>2028</v>
      </c>
      <c r="BT36" s="301">
        <v>0</v>
      </c>
      <c r="BU36" s="259"/>
      <c r="BV36" s="260"/>
      <c r="BW36" s="261"/>
      <c r="BX36" s="262"/>
      <c r="BY36" s="263"/>
      <c r="BZ36" s="368" t="s">
        <v>289</v>
      </c>
      <c r="CA36" s="368" t="s">
        <v>262</v>
      </c>
      <c r="CB36" s="381">
        <f>SUM(CB28:CB35)</f>
        <v>0.009524087764154386</v>
      </c>
      <c r="CC36" s="266">
        <f t="shared" si="88"/>
        <v>2028</v>
      </c>
      <c r="CD36" s="267">
        <f t="shared" si="105"/>
        <v>0</v>
      </c>
      <c r="CE36" s="267">
        <f t="shared" si="89"/>
        <v>0</v>
      </c>
      <c r="CF36" s="267">
        <f t="shared" si="90"/>
        <v>0</v>
      </c>
      <c r="CG36" s="267">
        <f t="shared" si="103"/>
        <v>0</v>
      </c>
      <c r="CH36" s="267">
        <f t="shared" si="91"/>
        <v>0</v>
      </c>
      <c r="CI36" s="267">
        <f t="shared" si="92"/>
        <v>0</v>
      </c>
      <c r="CJ36" s="269">
        <f t="shared" si="93"/>
        <v>23.824976153527682</v>
      </c>
      <c r="CK36" s="269">
        <f t="shared" si="94"/>
        <v>3.07277051517151</v>
      </c>
      <c r="CL36" s="270">
        <f t="shared" si="95"/>
        <v>2028</v>
      </c>
      <c r="CM36" s="271">
        <f t="shared" si="74"/>
        <v>0</v>
      </c>
      <c r="CN36" s="271">
        <f t="shared" si="96"/>
        <v>0</v>
      </c>
      <c r="CO36" s="271">
        <f t="shared" si="97"/>
        <v>0</v>
      </c>
      <c r="CP36" s="271">
        <f t="shared" si="75"/>
        <v>0</v>
      </c>
      <c r="CQ36" s="271">
        <f t="shared" si="76"/>
        <v>0</v>
      </c>
      <c r="CR36" s="271">
        <f t="shared" si="77"/>
        <v>0</v>
      </c>
      <c r="CS36" s="271">
        <f t="shared" si="98"/>
        <v>0</v>
      </c>
      <c r="CT36" s="271">
        <f t="shared" si="99"/>
        <v>0</v>
      </c>
      <c r="CU36" s="272">
        <f t="shared" si="100"/>
        <v>2028</v>
      </c>
      <c r="CV36" s="273">
        <f t="shared" si="78"/>
        <v>0</v>
      </c>
      <c r="CW36" s="273">
        <f t="shared" si="79"/>
        <v>0</v>
      </c>
      <c r="CX36" s="273">
        <f t="shared" si="80"/>
        <v>0</v>
      </c>
      <c r="CY36" s="273">
        <f>IF(CT35=0,0,IF(CT36&gt;0,0,IF(AND(SUM(CT$7:CT35)&gt;0,SUM(CT36:CT$100)=0),CB$42,0)))</f>
        <v>0</v>
      </c>
      <c r="CZ36" s="273">
        <f>IF(CT35=0,0,IF(CT36&gt;0,0,IF(AND(SUM(CT$7:CT35)&gt;0,SUM(CT36:CT$100)=0),CB$41,0)))</f>
        <v>0</v>
      </c>
      <c r="DA36" s="273">
        <f>IF(SUM(CT$7:CT$100)=0,0,IF(SUM(CT36:CT$100)=0,CZ36-CY36,CM36-SUM(CN36:CR36)-CY36+CZ36))</f>
        <v>0</v>
      </c>
      <c r="DB36" s="274">
        <f t="shared" si="101"/>
        <v>2028</v>
      </c>
      <c r="DC36" s="275">
        <f t="shared" si="55"/>
        <v>0</v>
      </c>
      <c r="DD36" s="275">
        <f t="shared" si="56"/>
        <v>0</v>
      </c>
      <c r="DE36" s="275">
        <f t="shared" si="57"/>
        <v>0</v>
      </c>
      <c r="DF36" s="275">
        <f t="shared" si="58"/>
        <v>0</v>
      </c>
      <c r="DG36" s="360">
        <f t="shared" si="59"/>
        <v>0</v>
      </c>
      <c r="DH36" s="233"/>
      <c r="DI36" s="233"/>
      <c r="DJ36" s="233"/>
      <c r="DK36" s="233"/>
      <c r="DL36" s="37"/>
      <c r="DM36" s="37"/>
      <c r="DN36" s="37"/>
    </row>
    <row r="37" spans="1:118" ht="15">
      <c r="A37" s="390"/>
      <c r="B37" s="327"/>
      <c r="C37" s="331"/>
      <c r="D37" s="237"/>
      <c r="E37" s="237"/>
      <c r="F37" s="238">
        <f t="shared" si="0"/>
        <v>0</v>
      </c>
      <c r="G37" s="329"/>
      <c r="H37" s="239">
        <f t="shared" si="1"/>
        <v>0</v>
      </c>
      <c r="I37" s="322"/>
      <c r="J37" s="240">
        <f t="shared" si="2"/>
        <v>0</v>
      </c>
      <c r="K37" s="323"/>
      <c r="L37" s="241">
        <f t="shared" si="3"/>
        <v>0</v>
      </c>
      <c r="M37" s="324"/>
      <c r="N37" s="242">
        <f t="shared" si="4"/>
        <v>0</v>
      </c>
      <c r="O37" s="324"/>
      <c r="P37" s="243">
        <f t="shared" si="5"/>
        <v>0</v>
      </c>
      <c r="Q37" s="324"/>
      <c r="R37" s="244">
        <f t="shared" si="6"/>
        <v>0</v>
      </c>
      <c r="S37" s="325"/>
      <c r="T37" s="245">
        <f t="shared" si="7"/>
        <v>0</v>
      </c>
      <c r="U37" s="326"/>
      <c r="V37" s="246">
        <f t="shared" si="8"/>
        <v>0</v>
      </c>
      <c r="W37" s="326"/>
      <c r="X37" s="247">
        <f t="shared" si="9"/>
        <v>0</v>
      </c>
      <c r="Y37" s="248">
        <f t="shared" si="61"/>
        <v>0</v>
      </c>
      <c r="Z37" s="249">
        <f t="shared" si="62"/>
        <v>0</v>
      </c>
      <c r="AA37" s="249">
        <f t="shared" si="63"/>
        <v>0</v>
      </c>
      <c r="AB37" s="250">
        <f t="shared" si="64"/>
        <v>0</v>
      </c>
      <c r="AC37" s="250">
        <f t="shared" si="65"/>
        <v>0</v>
      </c>
      <c r="AD37" s="250">
        <f t="shared" si="102"/>
        <v>0</v>
      </c>
      <c r="AE37" s="239">
        <f t="shared" si="15"/>
        <v>0</v>
      </c>
      <c r="AF37" s="251">
        <f t="shared" si="66"/>
        <v>0</v>
      </c>
      <c r="AG37" s="251">
        <f t="shared" si="67"/>
        <v>0</v>
      </c>
      <c r="AH37" s="251">
        <f t="shared" si="81"/>
        <v>0</v>
      </c>
      <c r="AI37" s="251">
        <f t="shared" si="68"/>
        <v>0</v>
      </c>
      <c r="AJ37" s="251">
        <f t="shared" si="69"/>
        <v>0</v>
      </c>
      <c r="AK37" s="251">
        <f t="shared" si="82"/>
        <v>0</v>
      </c>
      <c r="AL37" s="245">
        <f t="shared" si="20"/>
        <v>0</v>
      </c>
      <c r="AM37" s="252">
        <f t="shared" si="83"/>
        <v>0</v>
      </c>
      <c r="AN37" s="252">
        <f t="shared" si="70"/>
        <v>0</v>
      </c>
      <c r="AO37" s="252">
        <f t="shared" si="71"/>
        <v>0</v>
      </c>
      <c r="AP37" s="252">
        <f t="shared" si="72"/>
        <v>0</v>
      </c>
      <c r="AQ37" s="252">
        <f t="shared" si="73"/>
        <v>0</v>
      </c>
      <c r="AR37" s="252">
        <f t="shared" si="84"/>
        <v>0</v>
      </c>
      <c r="AS37" s="35"/>
      <c r="AT37" s="35"/>
      <c r="AU37" s="132"/>
      <c r="AV37" s="401"/>
      <c r="AW37" s="319"/>
      <c r="AX37" s="405"/>
      <c r="AY37" s="413"/>
      <c r="AZ37" s="158"/>
      <c r="BA37" s="131"/>
      <c r="BB37" s="131"/>
      <c r="BC37" s="131"/>
      <c r="BD37" s="131"/>
      <c r="BE37" s="257">
        <f t="shared" si="85"/>
        <v>2029</v>
      </c>
      <c r="BF37" s="258">
        <v>0</v>
      </c>
      <c r="BG37" s="259"/>
      <c r="BH37" s="260"/>
      <c r="BI37" s="261"/>
      <c r="BJ37" s="262"/>
      <c r="BK37" s="263"/>
      <c r="BL37" s="264">
        <f t="shared" si="86"/>
        <v>2029</v>
      </c>
      <c r="BM37" s="258">
        <v>0</v>
      </c>
      <c r="BN37" s="259"/>
      <c r="BO37" s="260"/>
      <c r="BP37" s="261"/>
      <c r="BQ37" s="262"/>
      <c r="BR37" s="263"/>
      <c r="BS37" s="265">
        <f t="shared" si="87"/>
        <v>2029</v>
      </c>
      <c r="BT37" s="301">
        <v>0</v>
      </c>
      <c r="BU37" s="259"/>
      <c r="BV37" s="260"/>
      <c r="BW37" s="261"/>
      <c r="BX37" s="262"/>
      <c r="BY37" s="263"/>
      <c r="BZ37" s="368" t="s">
        <v>290</v>
      </c>
      <c r="CA37" s="368" t="s">
        <v>291</v>
      </c>
      <c r="CB37" s="378">
        <f>AX55</f>
        <v>0.2351195780906835</v>
      </c>
      <c r="CC37" s="266">
        <f t="shared" si="88"/>
        <v>2029</v>
      </c>
      <c r="CD37" s="267">
        <f t="shared" si="105"/>
        <v>0</v>
      </c>
      <c r="CE37" s="267">
        <f t="shared" si="89"/>
        <v>0</v>
      </c>
      <c r="CF37" s="267">
        <f t="shared" si="90"/>
        <v>0</v>
      </c>
      <c r="CG37" s="267">
        <f t="shared" si="103"/>
        <v>0</v>
      </c>
      <c r="CH37" s="267">
        <f t="shared" si="91"/>
        <v>0</v>
      </c>
      <c r="CI37" s="267">
        <f t="shared" si="92"/>
        <v>0</v>
      </c>
      <c r="CJ37" s="269">
        <f t="shared" si="93"/>
        <v>23.991750986602373</v>
      </c>
      <c r="CK37" s="269">
        <f t="shared" si="94"/>
        <v>3.0912071382625395</v>
      </c>
      <c r="CL37" s="270">
        <f t="shared" si="95"/>
        <v>2029</v>
      </c>
      <c r="CM37" s="271">
        <f t="shared" si="74"/>
        <v>0</v>
      </c>
      <c r="CN37" s="271">
        <f t="shared" si="96"/>
        <v>0</v>
      </c>
      <c r="CO37" s="271">
        <f t="shared" si="97"/>
        <v>0</v>
      </c>
      <c r="CP37" s="271">
        <f t="shared" si="75"/>
        <v>0</v>
      </c>
      <c r="CQ37" s="271">
        <f t="shared" si="76"/>
        <v>0</v>
      </c>
      <c r="CR37" s="271">
        <f t="shared" si="77"/>
        <v>0</v>
      </c>
      <c r="CS37" s="271">
        <f t="shared" si="98"/>
        <v>0</v>
      </c>
      <c r="CT37" s="271">
        <f t="shared" si="99"/>
        <v>0</v>
      </c>
      <c r="CU37" s="272">
        <f t="shared" si="100"/>
        <v>2029</v>
      </c>
      <c r="CV37" s="273">
        <f t="shared" si="78"/>
        <v>0</v>
      </c>
      <c r="CW37" s="273">
        <f t="shared" si="79"/>
        <v>0</v>
      </c>
      <c r="CX37" s="273">
        <f t="shared" si="80"/>
        <v>0</v>
      </c>
      <c r="CY37" s="273">
        <f>IF(CT36=0,0,IF(CT37&gt;0,0,IF(AND(SUM(CT$7:CT36)&gt;0,SUM(CT37:CT$100)=0),CB$42,0)))</f>
        <v>0</v>
      </c>
      <c r="CZ37" s="273">
        <f>IF(CT36=0,0,IF(CT37&gt;0,0,IF(AND(SUM(CT$7:CT36)&gt;0,SUM(CT37:CT$100)=0),CB$41,0)))</f>
        <v>0</v>
      </c>
      <c r="DA37" s="273">
        <f>IF(SUM(CT$7:CT$100)=0,0,IF(SUM(CT37:CT$100)=0,CZ37-CY37,CM37-SUM(CN37:CR37)-CY37+CZ37))</f>
        <v>0</v>
      </c>
      <c r="DB37" s="274">
        <f t="shared" si="101"/>
        <v>2029</v>
      </c>
      <c r="DC37" s="275">
        <f t="shared" si="55"/>
        <v>0</v>
      </c>
      <c r="DD37" s="275">
        <f t="shared" si="56"/>
        <v>0</v>
      </c>
      <c r="DE37" s="275">
        <f t="shared" si="57"/>
        <v>0</v>
      </c>
      <c r="DF37" s="275">
        <f t="shared" si="58"/>
        <v>0</v>
      </c>
      <c r="DG37" s="360">
        <f t="shared" si="59"/>
        <v>0</v>
      </c>
      <c r="DH37" s="233"/>
      <c r="DI37" s="233"/>
      <c r="DJ37" s="233"/>
      <c r="DK37" s="233"/>
      <c r="DL37" s="37"/>
      <c r="DM37" s="37"/>
      <c r="DN37" s="37"/>
    </row>
    <row r="38" spans="1:118" ht="15">
      <c r="A38" s="390" t="s">
        <v>292</v>
      </c>
      <c r="B38" s="327"/>
      <c r="C38" s="331"/>
      <c r="D38" s="237"/>
      <c r="E38" s="237"/>
      <c r="F38" s="238">
        <f t="shared" si="0"/>
        <v>0</v>
      </c>
      <c r="G38" s="329"/>
      <c r="H38" s="239">
        <f t="shared" si="1"/>
        <v>0</v>
      </c>
      <c r="I38" s="322"/>
      <c r="J38" s="240">
        <f t="shared" si="2"/>
        <v>0</v>
      </c>
      <c r="K38" s="323"/>
      <c r="L38" s="241">
        <f t="shared" si="3"/>
        <v>0</v>
      </c>
      <c r="M38" s="324"/>
      <c r="N38" s="242">
        <f t="shared" si="4"/>
        <v>0</v>
      </c>
      <c r="O38" s="324"/>
      <c r="P38" s="243">
        <f t="shared" si="5"/>
        <v>0</v>
      </c>
      <c r="Q38" s="324"/>
      <c r="R38" s="244">
        <f t="shared" si="6"/>
        <v>0</v>
      </c>
      <c r="S38" s="325"/>
      <c r="T38" s="245">
        <f t="shared" si="7"/>
        <v>0</v>
      </c>
      <c r="U38" s="326"/>
      <c r="V38" s="246">
        <f t="shared" si="8"/>
        <v>0</v>
      </c>
      <c r="W38" s="326"/>
      <c r="X38" s="247">
        <f t="shared" si="9"/>
        <v>0</v>
      </c>
      <c r="Y38" s="248">
        <f t="shared" si="61"/>
        <v>0</v>
      </c>
      <c r="Z38" s="249">
        <f t="shared" si="62"/>
        <v>0</v>
      </c>
      <c r="AA38" s="249">
        <f t="shared" si="63"/>
        <v>0</v>
      </c>
      <c r="AB38" s="250">
        <f t="shared" si="64"/>
        <v>0</v>
      </c>
      <c r="AC38" s="250">
        <f t="shared" si="65"/>
        <v>0</v>
      </c>
      <c r="AD38" s="250">
        <f t="shared" si="102"/>
        <v>0</v>
      </c>
      <c r="AE38" s="239">
        <f t="shared" si="15"/>
        <v>0</v>
      </c>
      <c r="AF38" s="251">
        <f t="shared" si="66"/>
        <v>0</v>
      </c>
      <c r="AG38" s="251">
        <f t="shared" si="67"/>
        <v>0</v>
      </c>
      <c r="AH38" s="251">
        <f t="shared" si="81"/>
        <v>0</v>
      </c>
      <c r="AI38" s="251">
        <f t="shared" si="68"/>
        <v>0</v>
      </c>
      <c r="AJ38" s="251">
        <f t="shared" si="69"/>
        <v>0</v>
      </c>
      <c r="AK38" s="251">
        <f t="shared" si="82"/>
        <v>0</v>
      </c>
      <c r="AL38" s="245">
        <f t="shared" si="20"/>
        <v>0</v>
      </c>
      <c r="AM38" s="252">
        <f t="shared" si="83"/>
        <v>0</v>
      </c>
      <c r="AN38" s="252">
        <f t="shared" si="70"/>
        <v>0</v>
      </c>
      <c r="AO38" s="252">
        <f t="shared" si="71"/>
        <v>0</v>
      </c>
      <c r="AP38" s="252">
        <f t="shared" si="72"/>
        <v>0</v>
      </c>
      <c r="AQ38" s="252">
        <f t="shared" si="73"/>
        <v>0</v>
      </c>
      <c r="AR38" s="252">
        <f t="shared" si="84"/>
        <v>0</v>
      </c>
      <c r="AS38" s="35"/>
      <c r="AT38" s="35"/>
      <c r="AU38" s="294"/>
      <c r="AV38" s="402" t="s">
        <v>293</v>
      </c>
      <c r="AW38" s="317">
        <v>71500</v>
      </c>
      <c r="AX38" s="404" t="s">
        <v>98</v>
      </c>
      <c r="AY38" s="412" t="s">
        <v>294</v>
      </c>
      <c r="AZ38" s="281">
        <v>2013</v>
      </c>
      <c r="BA38" s="131"/>
      <c r="BB38" s="131"/>
      <c r="BC38" s="131"/>
      <c r="BD38" s="131"/>
      <c r="BE38" s="257">
        <f t="shared" si="85"/>
        <v>2030</v>
      </c>
      <c r="BF38" s="258">
        <v>0</v>
      </c>
      <c r="BG38" s="259"/>
      <c r="BH38" s="260"/>
      <c r="BI38" s="261"/>
      <c r="BJ38" s="262"/>
      <c r="BK38" s="263"/>
      <c r="BL38" s="264">
        <f t="shared" si="86"/>
        <v>2030</v>
      </c>
      <c r="BM38" s="258">
        <v>0</v>
      </c>
      <c r="BN38" s="259"/>
      <c r="BO38" s="260"/>
      <c r="BP38" s="261"/>
      <c r="BQ38" s="262"/>
      <c r="BR38" s="263"/>
      <c r="BS38" s="265">
        <f t="shared" si="87"/>
        <v>2030</v>
      </c>
      <c r="BT38" s="301">
        <v>0</v>
      </c>
      <c r="BU38" s="259"/>
      <c r="BV38" s="260"/>
      <c r="BW38" s="261"/>
      <c r="BX38" s="262"/>
      <c r="BY38" s="263"/>
      <c r="BZ38" s="368" t="s">
        <v>295</v>
      </c>
      <c r="CA38" s="368" t="s">
        <v>291</v>
      </c>
      <c r="CB38" s="382">
        <f>AZ32</f>
        <v>2.32</v>
      </c>
      <c r="CC38" s="266">
        <f t="shared" si="88"/>
        <v>2030</v>
      </c>
      <c r="CD38" s="267">
        <f t="shared" si="105"/>
        <v>0</v>
      </c>
      <c r="CE38" s="267">
        <f t="shared" si="89"/>
        <v>0</v>
      </c>
      <c r="CF38" s="267">
        <f t="shared" si="90"/>
        <v>0</v>
      </c>
      <c r="CG38" s="267">
        <f t="shared" si="103"/>
        <v>0</v>
      </c>
      <c r="CH38" s="267">
        <f t="shared" si="91"/>
        <v>0</v>
      </c>
      <c r="CI38" s="267">
        <f t="shared" si="92"/>
        <v>0</v>
      </c>
      <c r="CJ38" s="269">
        <f t="shared" si="93"/>
        <v>24.159693243508585</v>
      </c>
      <c r="CK38" s="269">
        <f t="shared" si="94"/>
        <v>3.1097543810921144</v>
      </c>
      <c r="CL38" s="270">
        <f t="shared" si="95"/>
        <v>2030</v>
      </c>
      <c r="CM38" s="271">
        <f t="shared" si="74"/>
        <v>0</v>
      </c>
      <c r="CN38" s="271">
        <f t="shared" si="96"/>
        <v>0</v>
      </c>
      <c r="CO38" s="271">
        <f t="shared" si="97"/>
        <v>0</v>
      </c>
      <c r="CP38" s="271">
        <f t="shared" si="75"/>
        <v>0</v>
      </c>
      <c r="CQ38" s="271">
        <f t="shared" si="76"/>
        <v>0</v>
      </c>
      <c r="CR38" s="271">
        <f t="shared" si="77"/>
        <v>0</v>
      </c>
      <c r="CS38" s="271">
        <f t="shared" si="98"/>
        <v>0</v>
      </c>
      <c r="CT38" s="271">
        <f t="shared" si="99"/>
        <v>0</v>
      </c>
      <c r="CU38" s="272">
        <f t="shared" si="100"/>
        <v>2030</v>
      </c>
      <c r="CV38" s="273">
        <f t="shared" si="78"/>
        <v>0</v>
      </c>
      <c r="CW38" s="273">
        <f t="shared" si="79"/>
        <v>0</v>
      </c>
      <c r="CX38" s="273">
        <f t="shared" si="80"/>
        <v>0</v>
      </c>
      <c r="CY38" s="273">
        <f>IF(CT37=0,0,IF(CT38&gt;0,0,IF(AND(SUM(CT$7:CT37)&gt;0,SUM(CT38:CT$100)=0),CB$42,0)))</f>
        <v>0</v>
      </c>
      <c r="CZ38" s="273">
        <f>IF(CT37=0,0,IF(CT38&gt;0,0,IF(AND(SUM(CT$7:CT37)&gt;0,SUM(CT38:CT$100)=0),CB$41,0)))</f>
        <v>0</v>
      </c>
      <c r="DA38" s="273">
        <f>IF(SUM(CT$7:CT$100)=0,0,IF(SUM(CT38:CT$100)=0,CZ38-CY38,CM38-SUM(CN38:CR38)-CY38+CZ38))</f>
        <v>0</v>
      </c>
      <c r="DB38" s="274">
        <f t="shared" si="101"/>
        <v>2030</v>
      </c>
      <c r="DC38" s="275">
        <f t="shared" si="55"/>
        <v>0</v>
      </c>
      <c r="DD38" s="275">
        <f t="shared" si="56"/>
        <v>0</v>
      </c>
      <c r="DE38" s="275">
        <f t="shared" si="57"/>
        <v>0</v>
      </c>
      <c r="DF38" s="275">
        <f t="shared" si="58"/>
        <v>0</v>
      </c>
      <c r="DG38" s="360">
        <f t="shared" si="59"/>
        <v>0</v>
      </c>
      <c r="DH38" s="233"/>
      <c r="DI38" s="233"/>
      <c r="DJ38" s="233"/>
      <c r="DK38" s="233"/>
      <c r="DL38" s="37"/>
      <c r="DM38" s="37"/>
      <c r="DN38" s="37"/>
    </row>
    <row r="39" spans="1:118" ht="15">
      <c r="A39" s="334">
        <v>0.05</v>
      </c>
      <c r="B39" s="327"/>
      <c r="C39" s="331"/>
      <c r="D39" s="237"/>
      <c r="E39" s="237"/>
      <c r="F39" s="238">
        <f aca="true" t="shared" si="106" ref="F39:F70">$E39</f>
        <v>0</v>
      </c>
      <c r="G39" s="329"/>
      <c r="H39" s="239">
        <f aca="true" t="shared" si="107" ref="H39:H70">$E39</f>
        <v>0</v>
      </c>
      <c r="I39" s="322"/>
      <c r="J39" s="240">
        <f aca="true" t="shared" si="108" ref="J39:J70">$E39</f>
        <v>0</v>
      </c>
      <c r="K39" s="323"/>
      <c r="L39" s="241">
        <f aca="true" t="shared" si="109" ref="L39:L70">$E39</f>
        <v>0</v>
      </c>
      <c r="M39" s="324"/>
      <c r="N39" s="242">
        <f aca="true" t="shared" si="110" ref="N39:N70">$E39</f>
        <v>0</v>
      </c>
      <c r="O39" s="324"/>
      <c r="P39" s="243">
        <f aca="true" t="shared" si="111" ref="P39:P70">$E39</f>
        <v>0</v>
      </c>
      <c r="Q39" s="324"/>
      <c r="R39" s="244">
        <f aca="true" t="shared" si="112" ref="R39:R70">$E39</f>
        <v>0</v>
      </c>
      <c r="S39" s="325"/>
      <c r="T39" s="245">
        <f aca="true" t="shared" si="113" ref="T39:T70">$E39</f>
        <v>0</v>
      </c>
      <c r="U39" s="326"/>
      <c r="V39" s="246">
        <f aca="true" t="shared" si="114" ref="V39:V70">$E39</f>
        <v>0</v>
      </c>
      <c r="W39" s="326"/>
      <c r="X39" s="247">
        <f aca="true" t="shared" si="115" ref="X39:X70">$E39</f>
        <v>0</v>
      </c>
      <c r="Y39" s="248">
        <f aca="true" t="shared" si="116" ref="Y39:Y54">IF(I39=1,Q39*S39,0)*G39</f>
        <v>0</v>
      </c>
      <c r="Z39" s="249">
        <f aca="true" t="shared" si="117" ref="Z39:Z54">IF(I39=1,Q39*S39*(U39/1000),0)*G39</f>
        <v>0</v>
      </c>
      <c r="AA39" s="249">
        <f aca="true" t="shared" si="118" ref="AA39:AA54">Z39*($M39/1000)</f>
        <v>0</v>
      </c>
      <c r="AB39" s="250">
        <f aca="true" t="shared" si="119" ref="AB39:AB54">IF(I39=2,Q39*S39,0)*G39</f>
        <v>0</v>
      </c>
      <c r="AC39" s="250">
        <f aca="true" t="shared" si="120" ref="AC39:AC54">IF(I39=2,Q39*S39*(W39/1000),0)*G39</f>
        <v>0</v>
      </c>
      <c r="AD39" s="250">
        <f t="shared" si="102"/>
        <v>0</v>
      </c>
      <c r="AE39" s="239">
        <f aca="true" t="shared" si="121" ref="AE39:AE70">$E39</f>
        <v>0</v>
      </c>
      <c r="AF39" s="251">
        <f aca="true" t="shared" si="122" ref="AF39:AF54">IF(I39=3,Q39*S39*K39,0)*G39</f>
        <v>0</v>
      </c>
      <c r="AG39" s="251">
        <f aca="true" t="shared" si="123" ref="AG39:AG54">IF(I39=3,Q39*S39*(U39/1000)*K39,0)*G39</f>
        <v>0</v>
      </c>
      <c r="AH39" s="251">
        <f t="shared" si="81"/>
        <v>0</v>
      </c>
      <c r="AI39" s="251">
        <f aca="true" t="shared" si="124" ref="AI39:AI54">IF(I39=3,Q39*S39*(1-K39),0)*G39</f>
        <v>0</v>
      </c>
      <c r="AJ39" s="251">
        <f aca="true" t="shared" si="125" ref="AJ39:AJ54">IF(I39=3,Q39*S39*(W39/1000)*(1-K39),0)*G39</f>
        <v>0</v>
      </c>
      <c r="AK39" s="251">
        <f t="shared" si="82"/>
        <v>0</v>
      </c>
      <c r="AL39" s="245">
        <f aca="true" t="shared" si="126" ref="AL39:AL70">$E39</f>
        <v>0</v>
      </c>
      <c r="AM39" s="252">
        <f t="shared" si="83"/>
        <v>0</v>
      </c>
      <c r="AN39" s="252">
        <f aca="true" t="shared" si="127" ref="AN39:AN54">Z39+AD39+AG39+AK39</f>
        <v>0</v>
      </c>
      <c r="AO39" s="252">
        <f aca="true" t="shared" si="128" ref="AO39:AO54">AA39+AC39+AH39+AJ39</f>
        <v>0</v>
      </c>
      <c r="AP39" s="252">
        <f aca="true" t="shared" si="129" ref="AP39:AP54">AN39+(AO39/A$36)</f>
        <v>0</v>
      </c>
      <c r="AQ39" s="252">
        <f aca="true" t="shared" si="130" ref="AQ39:AQ54">IF(I39=1,(Q39*S39*(U39/1000))+((Q39*S39*(U39/1000))*(M39/5620)),IF(I39=2,(Q39*S39*(W39/5620))+((Q39*S39*(W39/1000))*(O39/1000)),(Q39*S39*(U39/1000)*K39)+((Q39*S39*(U39/1000)*K39)*(M39/5620))+(Q39*S39*(W39/5620)*(1-K39))+((Q39*S39*(W39/1000)*(1-K39))*(O39/1000))))</f>
        <v>0</v>
      </c>
      <c r="AR39" s="252">
        <f t="shared" si="84"/>
        <v>0</v>
      </c>
      <c r="AS39" s="131"/>
      <c r="AT39" s="131"/>
      <c r="AU39" s="132"/>
      <c r="AV39" s="295"/>
      <c r="AW39" s="177"/>
      <c r="AX39" s="255"/>
      <c r="AY39" s="412" t="s">
        <v>296</v>
      </c>
      <c r="AZ39" s="463">
        <v>0.006</v>
      </c>
      <c r="BA39" s="131"/>
      <c r="BB39" s="131"/>
      <c r="BC39" s="131"/>
      <c r="BD39" s="131"/>
      <c r="BE39" s="257">
        <f t="shared" si="85"/>
        <v>2031</v>
      </c>
      <c r="BF39" s="258">
        <v>0</v>
      </c>
      <c r="BG39" s="259"/>
      <c r="BH39" s="260"/>
      <c r="BI39" s="261"/>
      <c r="BJ39" s="262"/>
      <c r="BK39" s="263"/>
      <c r="BL39" s="264">
        <f t="shared" si="86"/>
        <v>2031</v>
      </c>
      <c r="BM39" s="258">
        <v>0</v>
      </c>
      <c r="BN39" s="259"/>
      <c r="BO39" s="260"/>
      <c r="BP39" s="261"/>
      <c r="BQ39" s="262"/>
      <c r="BR39" s="263"/>
      <c r="BS39" s="265">
        <f t="shared" si="87"/>
        <v>2031</v>
      </c>
      <c r="BT39" s="301">
        <v>0</v>
      </c>
      <c r="BU39" s="259"/>
      <c r="BV39" s="260"/>
      <c r="BW39" s="261"/>
      <c r="BX39" s="262"/>
      <c r="BY39" s="263"/>
      <c r="BZ39" s="368" t="s">
        <v>297</v>
      </c>
      <c r="CA39" s="368" t="s">
        <v>298</v>
      </c>
      <c r="CB39" s="369">
        <f>AW62</f>
        <v>1005.4715843178908</v>
      </c>
      <c r="CC39" s="266">
        <f t="shared" si="88"/>
        <v>2031</v>
      </c>
      <c r="CD39" s="267">
        <f t="shared" si="105"/>
        <v>0</v>
      </c>
      <c r="CE39" s="267">
        <f t="shared" si="89"/>
        <v>0</v>
      </c>
      <c r="CF39" s="267">
        <f t="shared" si="90"/>
        <v>0</v>
      </c>
      <c r="CG39" s="267">
        <f t="shared" si="103"/>
        <v>0</v>
      </c>
      <c r="CH39" s="267">
        <f t="shared" si="91"/>
        <v>0</v>
      </c>
      <c r="CI39" s="267">
        <f t="shared" si="92"/>
        <v>0</v>
      </c>
      <c r="CJ39" s="269">
        <f t="shared" si="93"/>
        <v>24.328811096213144</v>
      </c>
      <c r="CK39" s="269">
        <f t="shared" si="94"/>
        <v>3.1284129073786673</v>
      </c>
      <c r="CL39" s="270">
        <f t="shared" si="95"/>
        <v>2031</v>
      </c>
      <c r="CM39" s="271">
        <f aca="true" t="shared" si="131" ref="CM39:CM54">(CH39*CJ39)+(CI39*CK39)</f>
        <v>0</v>
      </c>
      <c r="CN39" s="271">
        <f t="shared" si="96"/>
        <v>0</v>
      </c>
      <c r="CO39" s="271">
        <f t="shared" si="97"/>
        <v>0</v>
      </c>
      <c r="CP39" s="271">
        <f aca="true" t="shared" si="132" ref="CP39:CP54">IF(CG39&gt;0,CB$24,0)</f>
        <v>0</v>
      </c>
      <c r="CQ39" s="271">
        <f aca="true" t="shared" si="133" ref="CQ39:CQ54">CG39*CB$25</f>
        <v>0</v>
      </c>
      <c r="CR39" s="271">
        <f aca="true" t="shared" si="134" ref="CR39:CR54">(CH39*CB$26)+(CI39*CB$37)</f>
        <v>0</v>
      </c>
      <c r="CS39" s="271">
        <f t="shared" si="98"/>
        <v>0</v>
      </c>
      <c r="CT39" s="271">
        <f t="shared" si="99"/>
        <v>0</v>
      </c>
      <c r="CU39" s="272">
        <f t="shared" si="100"/>
        <v>2031</v>
      </c>
      <c r="CV39" s="273">
        <f aca="true" t="shared" si="135" ref="CV39:CV54">IF(SUM(CT$7:CT$100)=0,0,CG39)</f>
        <v>0</v>
      </c>
      <c r="CW39" s="273">
        <f aca="true" t="shared" si="136" ref="CW39:CW54">IF(SUM(CT$7:CT$100)=0,0,CN39+CO39)</f>
        <v>0</v>
      </c>
      <c r="CX39" s="273">
        <f aca="true" t="shared" si="137" ref="CX39:CX54">IF(SUM(CT$7:CT$100)=0,0,CP39+CQ39+CR39)</f>
        <v>0</v>
      </c>
      <c r="CY39" s="273">
        <f>IF(CT38=0,0,IF(CT39&gt;0,0,IF(AND(SUM(CT$7:CT38)&gt;0,SUM(CT39:CT$100)=0),CB$42,0)))</f>
        <v>0</v>
      </c>
      <c r="CZ39" s="273">
        <f>IF(CT38=0,0,IF(CT39&gt;0,0,IF(AND(SUM(CT$7:CT38)&gt;0,SUM(CT39:CT$100)=0),CB$41,0)))</f>
        <v>0</v>
      </c>
      <c r="DA39" s="273">
        <f>IF(SUM(CT$7:CT$100)=0,0,IF(SUM(CT39:CT$100)=0,CZ39-CY39,CM39-SUM(CN39:CR39)-CY39+CZ39))</f>
        <v>0</v>
      </c>
      <c r="DB39" s="274">
        <f t="shared" si="101"/>
        <v>2031</v>
      </c>
      <c r="DC39" s="275">
        <f t="shared" si="55"/>
        <v>0</v>
      </c>
      <c r="DD39" s="275">
        <f t="shared" si="56"/>
        <v>0</v>
      </c>
      <c r="DE39" s="275">
        <f t="shared" si="57"/>
        <v>0</v>
      </c>
      <c r="DF39" s="275">
        <f t="shared" si="58"/>
        <v>0</v>
      </c>
      <c r="DG39" s="360">
        <f t="shared" si="59"/>
        <v>0</v>
      </c>
      <c r="DH39" s="233"/>
      <c r="DI39" s="233"/>
      <c r="DJ39" s="233"/>
      <c r="DK39" s="233"/>
      <c r="DL39" s="37"/>
      <c r="DM39" s="37"/>
      <c r="DN39" s="37"/>
    </row>
    <row r="40" spans="1:118" ht="15">
      <c r="A40" s="211"/>
      <c r="B40" s="327"/>
      <c r="C40" s="331"/>
      <c r="D40" s="237"/>
      <c r="E40" s="237"/>
      <c r="F40" s="238">
        <f t="shared" si="106"/>
        <v>0</v>
      </c>
      <c r="G40" s="329"/>
      <c r="H40" s="239">
        <f t="shared" si="107"/>
        <v>0</v>
      </c>
      <c r="I40" s="322"/>
      <c r="J40" s="240">
        <f t="shared" si="108"/>
        <v>0</v>
      </c>
      <c r="K40" s="323"/>
      <c r="L40" s="241">
        <f t="shared" si="109"/>
        <v>0</v>
      </c>
      <c r="M40" s="324"/>
      <c r="N40" s="242">
        <f t="shared" si="110"/>
        <v>0</v>
      </c>
      <c r="O40" s="324"/>
      <c r="P40" s="243">
        <f t="shared" si="111"/>
        <v>0</v>
      </c>
      <c r="Q40" s="324"/>
      <c r="R40" s="244">
        <f t="shared" si="112"/>
        <v>0</v>
      </c>
      <c r="S40" s="325"/>
      <c r="T40" s="245">
        <f t="shared" si="113"/>
        <v>0</v>
      </c>
      <c r="U40" s="326"/>
      <c r="V40" s="246">
        <f t="shared" si="114"/>
        <v>0</v>
      </c>
      <c r="W40" s="326"/>
      <c r="X40" s="247">
        <f t="shared" si="115"/>
        <v>0</v>
      </c>
      <c r="Y40" s="248">
        <f t="shared" si="116"/>
        <v>0</v>
      </c>
      <c r="Z40" s="249">
        <f t="shared" si="117"/>
        <v>0</v>
      </c>
      <c r="AA40" s="249">
        <f t="shared" si="118"/>
        <v>0</v>
      </c>
      <c r="AB40" s="250">
        <f t="shared" si="119"/>
        <v>0</v>
      </c>
      <c r="AC40" s="250">
        <f t="shared" si="120"/>
        <v>0</v>
      </c>
      <c r="AD40" s="250">
        <f t="shared" si="102"/>
        <v>0</v>
      </c>
      <c r="AE40" s="239">
        <f t="shared" si="121"/>
        <v>0</v>
      </c>
      <c r="AF40" s="251">
        <f t="shared" si="122"/>
        <v>0</v>
      </c>
      <c r="AG40" s="251">
        <f t="shared" si="123"/>
        <v>0</v>
      </c>
      <c r="AH40" s="251">
        <f aca="true" t="shared" si="138" ref="AH40:AH55">AG40*($M40/1000)</f>
        <v>0</v>
      </c>
      <c r="AI40" s="251">
        <f t="shared" si="124"/>
        <v>0</v>
      </c>
      <c r="AJ40" s="251">
        <f t="shared" si="125"/>
        <v>0</v>
      </c>
      <c r="AK40" s="251">
        <f aca="true" t="shared" si="139" ref="AK40:AK55">AJ40*($O40/1000)</f>
        <v>0</v>
      </c>
      <c r="AL40" s="245">
        <f t="shared" si="126"/>
        <v>0</v>
      </c>
      <c r="AM40" s="252">
        <f aca="true" t="shared" si="140" ref="AM40:AM55">Y40+AB40+AF40+AI40</f>
        <v>0</v>
      </c>
      <c r="AN40" s="252">
        <f t="shared" si="127"/>
        <v>0</v>
      </c>
      <c r="AO40" s="252">
        <f t="shared" si="128"/>
        <v>0</v>
      </c>
      <c r="AP40" s="252">
        <f t="shared" si="129"/>
        <v>0</v>
      </c>
      <c r="AQ40" s="252">
        <f t="shared" si="130"/>
        <v>0</v>
      </c>
      <c r="AR40" s="252">
        <f aca="true" t="shared" si="141" ref="AR40:AR55">IF(G40=0,0,AQ40)</f>
        <v>0</v>
      </c>
      <c r="AS40" s="131"/>
      <c r="AT40" s="131"/>
      <c r="AU40" s="132"/>
      <c r="AV40" s="402" t="s">
        <v>299</v>
      </c>
      <c r="AW40" s="403">
        <f>AW26</f>
        <v>164066</v>
      </c>
      <c r="AX40" s="404" t="s">
        <v>284</v>
      </c>
      <c r="AY40" s="413"/>
      <c r="AZ40" s="158"/>
      <c r="BA40" s="131"/>
      <c r="BB40" s="131"/>
      <c r="BC40" s="131"/>
      <c r="BD40" s="131"/>
      <c r="BE40" s="257">
        <f aca="true" t="shared" si="142" ref="BE40:BE46">BE39+1</f>
        <v>2032</v>
      </c>
      <c r="BF40" s="258">
        <v>0</v>
      </c>
      <c r="BG40" s="259"/>
      <c r="BH40" s="260"/>
      <c r="BI40" s="261"/>
      <c r="BJ40" s="262"/>
      <c r="BK40" s="263"/>
      <c r="BL40" s="264">
        <f aca="true" t="shared" si="143" ref="BL40:BL46">BL39+1</f>
        <v>2032</v>
      </c>
      <c r="BM40" s="258">
        <v>0</v>
      </c>
      <c r="BN40" s="259"/>
      <c r="BO40" s="260"/>
      <c r="BP40" s="261"/>
      <c r="BQ40" s="262"/>
      <c r="BR40" s="263"/>
      <c r="BS40" s="265">
        <f aca="true" t="shared" si="144" ref="BS40:BS46">BS39+1</f>
        <v>2032</v>
      </c>
      <c r="BT40" s="301">
        <v>0</v>
      </c>
      <c r="BU40" s="259"/>
      <c r="BV40" s="260"/>
      <c r="BW40" s="261"/>
      <c r="BX40" s="262"/>
      <c r="BY40" s="263"/>
      <c r="BZ40" s="368" t="s">
        <v>300</v>
      </c>
      <c r="CA40" s="368" t="s">
        <v>291</v>
      </c>
      <c r="CB40" s="381">
        <f>(CB39-AZ41)/(AZ41/CB38)</f>
        <v>-0.05084233889347601</v>
      </c>
      <c r="CC40" s="266">
        <f aca="true" t="shared" si="145" ref="CC40:CC55">CC39+1</f>
        <v>2032</v>
      </c>
      <c r="CD40" s="267">
        <f t="shared" si="105"/>
        <v>0</v>
      </c>
      <c r="CE40" s="267">
        <f aca="true" t="shared" si="146" ref="CE40:CE55">(CD40/SUM(CD$7:CD$100))*CB$12</f>
        <v>0</v>
      </c>
      <c r="CF40" s="267">
        <f aca="true" t="shared" si="147" ref="CF40:CF55">IF(CB$5&gt;=CB$6,IF(CE40+CF39-CB$8&lt;=0,0,CE40+CF39-CB$8),IF(CE40+CF39-CB$9&lt;=0,0,CE40+CF39-CB$9))</f>
        <v>0</v>
      </c>
      <c r="CG40" s="267">
        <f t="shared" si="103"/>
        <v>0</v>
      </c>
      <c r="CH40" s="267">
        <f aca="true" t="shared" si="148" ref="CH40:CH55">CG40*CB$16</f>
        <v>0</v>
      </c>
      <c r="CI40" s="267">
        <f aca="true" t="shared" si="149" ref="CI40:CI55">(CG40-CH40)*CB$7</f>
        <v>0</v>
      </c>
      <c r="CJ40" s="269">
        <f aca="true" t="shared" si="150" ref="CJ40:CJ55">IF(CC40=0,"",IF(CC40&lt;AZ$5,0,IF(CC40&lt;AZ$9,CB$43*CB$44^(CC40-AZ$5),IF(CC40&lt;AZ$12,CB$47*CB$49^(CC40-AZ$9),CB$51*CB$53^(CC40-AZ$12)))))</f>
        <v>24.499112773886637</v>
      </c>
      <c r="CK40" s="269">
        <f aca="true" t="shared" si="151" ref="CK40:CK55">IF(CC40=0,"",IF(CC40&lt;AZ$31,0,IF(CC40&lt;AZ$35,CB$45*CB$46^(CC40-AZ$31),IF(CC40&lt;AZ$38,CB$48*CB$50^(CC40-AZ$35),CB$52*CB$54^(CC40-AZ$38)))))</f>
        <v>3.1471833848229394</v>
      </c>
      <c r="CL40" s="270">
        <f aca="true" t="shared" si="152" ref="CL40:CL55">CL39+1</f>
        <v>2032</v>
      </c>
      <c r="CM40" s="271">
        <f t="shared" si="131"/>
        <v>0</v>
      </c>
      <c r="CN40" s="271">
        <f aca="true" t="shared" si="153" ref="CN40:CN55">IF(CB$4&lt;AW$36,BF40*CB$18,IF(CB$4&lt;AW$38,BM40*CB$18,BT40*CB$18))</f>
        <v>0</v>
      </c>
      <c r="CO40" s="271">
        <f aca="true" t="shared" si="154" ref="CO40:CO55">IF(CB$12&lt;AW$36,(BG40*CB$20)+(BH40*CB$21)+(BI40*CB$22)+(BJ40*CB$23),IF(CB$12&lt;AW$38,(BN40*CB$20)+(BO40*CB$21)+(BP40*CB$22)+(BQ40*CB$23),(BU40*CB$20)+(BV40*CB$21)+(BW40*CB$22)+(BX40*CB$23)))</f>
        <v>0</v>
      </c>
      <c r="CP40" s="271">
        <f t="shared" si="132"/>
        <v>0</v>
      </c>
      <c r="CQ40" s="271">
        <f t="shared" si="133"/>
        <v>0</v>
      </c>
      <c r="CR40" s="271">
        <f t="shared" si="134"/>
        <v>0</v>
      </c>
      <c r="CS40" s="271">
        <f aca="true" t="shared" si="155" ref="CS40:CS55">CM40-CP40-CQ40-CR40</f>
        <v>0</v>
      </c>
      <c r="CT40" s="271">
        <f aca="true" t="shared" si="156" ref="CT40:CT55">IF(CS40&lt;=0,0,1)</f>
        <v>0</v>
      </c>
      <c r="CU40" s="272">
        <f aca="true" t="shared" si="157" ref="CU40:CU55">CU39+1</f>
        <v>2032</v>
      </c>
      <c r="CV40" s="273">
        <f t="shared" si="135"/>
        <v>0</v>
      </c>
      <c r="CW40" s="273">
        <f t="shared" si="136"/>
        <v>0</v>
      </c>
      <c r="CX40" s="273">
        <f t="shared" si="137"/>
        <v>0</v>
      </c>
      <c r="CY40" s="273">
        <f>IF(CT39=0,0,IF(CT40&gt;0,0,IF(AND(SUM(CT$7:CT39)&gt;0,SUM(CT40:CT$100)=0),CB$42,0)))</f>
        <v>0</v>
      </c>
      <c r="CZ40" s="273">
        <f>IF(CT39=0,0,IF(CT40&gt;0,0,IF(AND(SUM(CT$7:CT39)&gt;0,SUM(CT40:CT$100)=0),CB$41,0)))</f>
        <v>0</v>
      </c>
      <c r="DA40" s="273">
        <f>IF(SUM(CT$7:CT$100)=0,0,IF(SUM(CT40:CT$100)=0,CZ40-CY40,CM40-SUM(CN40:CR40)-CY40+CZ40))</f>
        <v>0</v>
      </c>
      <c r="DB40" s="274">
        <f aca="true" t="shared" si="158" ref="DB40:DB55">DB39+1</f>
        <v>2032</v>
      </c>
      <c r="DC40" s="275">
        <f t="shared" si="55"/>
        <v>0</v>
      </c>
      <c r="DD40" s="275">
        <f t="shared" si="56"/>
        <v>0</v>
      </c>
      <c r="DE40" s="275">
        <f t="shared" si="57"/>
        <v>0</v>
      </c>
      <c r="DF40" s="275">
        <f t="shared" si="58"/>
        <v>0</v>
      </c>
      <c r="DG40" s="360">
        <f t="shared" si="59"/>
        <v>0</v>
      </c>
      <c r="DH40" s="233"/>
      <c r="DI40" s="233"/>
      <c r="DJ40" s="233"/>
      <c r="DK40" s="233"/>
      <c r="DL40" s="37"/>
      <c r="DM40" s="37"/>
      <c r="DN40" s="37"/>
    </row>
    <row r="41" spans="1:118" ht="15">
      <c r="A41" s="211"/>
      <c r="B41" s="327"/>
      <c r="C41" s="331"/>
      <c r="D41" s="237"/>
      <c r="E41" s="237"/>
      <c r="F41" s="238">
        <f t="shared" si="106"/>
        <v>0</v>
      </c>
      <c r="G41" s="329"/>
      <c r="H41" s="239">
        <f t="shared" si="107"/>
        <v>0</v>
      </c>
      <c r="I41" s="322"/>
      <c r="J41" s="240">
        <f t="shared" si="108"/>
        <v>0</v>
      </c>
      <c r="K41" s="323"/>
      <c r="L41" s="241">
        <f t="shared" si="109"/>
        <v>0</v>
      </c>
      <c r="M41" s="324"/>
      <c r="N41" s="242">
        <f t="shared" si="110"/>
        <v>0</v>
      </c>
      <c r="O41" s="324"/>
      <c r="P41" s="243">
        <f t="shared" si="111"/>
        <v>0</v>
      </c>
      <c r="Q41" s="324"/>
      <c r="R41" s="244">
        <f t="shared" si="112"/>
        <v>0</v>
      </c>
      <c r="S41" s="325"/>
      <c r="T41" s="245">
        <f t="shared" si="113"/>
        <v>0</v>
      </c>
      <c r="U41" s="326"/>
      <c r="V41" s="246">
        <f t="shared" si="114"/>
        <v>0</v>
      </c>
      <c r="W41" s="326"/>
      <c r="X41" s="247">
        <f t="shared" si="115"/>
        <v>0</v>
      </c>
      <c r="Y41" s="248">
        <f t="shared" si="116"/>
        <v>0</v>
      </c>
      <c r="Z41" s="249">
        <f t="shared" si="117"/>
        <v>0</v>
      </c>
      <c r="AA41" s="249">
        <f t="shared" si="118"/>
        <v>0</v>
      </c>
      <c r="AB41" s="250">
        <f t="shared" si="119"/>
        <v>0</v>
      </c>
      <c r="AC41" s="250">
        <f t="shared" si="120"/>
        <v>0</v>
      </c>
      <c r="AD41" s="250">
        <f aca="true" t="shared" si="159" ref="AD41:AD56">AC41*($O41/1000)</f>
        <v>0</v>
      </c>
      <c r="AE41" s="239">
        <f t="shared" si="121"/>
        <v>0</v>
      </c>
      <c r="AF41" s="251">
        <f t="shared" si="122"/>
        <v>0</v>
      </c>
      <c r="AG41" s="251">
        <f t="shared" si="123"/>
        <v>0</v>
      </c>
      <c r="AH41" s="251">
        <f t="shared" si="138"/>
        <v>0</v>
      </c>
      <c r="AI41" s="251">
        <f t="shared" si="124"/>
        <v>0</v>
      </c>
      <c r="AJ41" s="251">
        <f t="shared" si="125"/>
        <v>0</v>
      </c>
      <c r="AK41" s="251">
        <f t="shared" si="139"/>
        <v>0</v>
      </c>
      <c r="AL41" s="245">
        <f t="shared" si="126"/>
        <v>0</v>
      </c>
      <c r="AM41" s="252">
        <f t="shared" si="140"/>
        <v>0</v>
      </c>
      <c r="AN41" s="252">
        <f t="shared" si="127"/>
        <v>0</v>
      </c>
      <c r="AO41" s="252">
        <f t="shared" si="128"/>
        <v>0</v>
      </c>
      <c r="AP41" s="252">
        <f t="shared" si="129"/>
        <v>0</v>
      </c>
      <c r="AQ41" s="252">
        <f t="shared" si="130"/>
        <v>0</v>
      </c>
      <c r="AR41" s="252">
        <f t="shared" si="141"/>
        <v>0</v>
      </c>
      <c r="AS41" s="131"/>
      <c r="AT41" s="131"/>
      <c r="AU41" s="132"/>
      <c r="AV41" s="37"/>
      <c r="AW41" s="37"/>
      <c r="AX41" s="37"/>
      <c r="AY41" s="414" t="s">
        <v>301</v>
      </c>
      <c r="AZ41" s="335">
        <v>1028</v>
      </c>
      <c r="BA41" s="131"/>
      <c r="BB41" s="131"/>
      <c r="BC41" s="131"/>
      <c r="BD41" s="131"/>
      <c r="BE41" s="257">
        <f t="shared" si="142"/>
        <v>2033</v>
      </c>
      <c r="BF41" s="258">
        <v>0</v>
      </c>
      <c r="BG41" s="259"/>
      <c r="BH41" s="260"/>
      <c r="BI41" s="261"/>
      <c r="BJ41" s="262"/>
      <c r="BK41" s="263"/>
      <c r="BL41" s="264">
        <f t="shared" si="143"/>
        <v>2033</v>
      </c>
      <c r="BM41" s="258">
        <v>0</v>
      </c>
      <c r="BN41" s="259"/>
      <c r="BO41" s="260"/>
      <c r="BP41" s="261"/>
      <c r="BQ41" s="262"/>
      <c r="BR41" s="263"/>
      <c r="BS41" s="265">
        <f t="shared" si="144"/>
        <v>2033</v>
      </c>
      <c r="BT41" s="301">
        <v>0</v>
      </c>
      <c r="BU41" s="259"/>
      <c r="BV41" s="260"/>
      <c r="BW41" s="261"/>
      <c r="BX41" s="262"/>
      <c r="BY41" s="263"/>
      <c r="BZ41" s="368" t="s">
        <v>302</v>
      </c>
      <c r="CA41" s="368" t="s">
        <v>303</v>
      </c>
      <c r="CB41" s="369">
        <f>IF(CB4&lt;AW$36,BB12,IF(CB4&lt;AW$38,BC12,BD12))</f>
        <v>35999.76591220113</v>
      </c>
      <c r="CC41" s="266">
        <f t="shared" si="145"/>
        <v>2033</v>
      </c>
      <c r="CD41" s="267">
        <f t="shared" si="105"/>
        <v>0</v>
      </c>
      <c r="CE41" s="267">
        <f t="shared" si="146"/>
        <v>0</v>
      </c>
      <c r="CF41" s="267">
        <f t="shared" si="147"/>
        <v>0</v>
      </c>
      <c r="CG41" s="267">
        <f t="shared" si="103"/>
        <v>0</v>
      </c>
      <c r="CH41" s="267">
        <f t="shared" si="148"/>
        <v>0</v>
      </c>
      <c r="CI41" s="267">
        <f t="shared" si="149"/>
        <v>0</v>
      </c>
      <c r="CJ41" s="269">
        <f t="shared" si="150"/>
        <v>24.67060656330384</v>
      </c>
      <c r="CK41" s="269">
        <f t="shared" si="151"/>
        <v>3.166066485131877</v>
      </c>
      <c r="CL41" s="270">
        <f t="shared" si="152"/>
        <v>2033</v>
      </c>
      <c r="CM41" s="271">
        <f t="shared" si="131"/>
        <v>0</v>
      </c>
      <c r="CN41" s="271">
        <f t="shared" si="153"/>
        <v>0</v>
      </c>
      <c r="CO41" s="271">
        <f t="shared" si="154"/>
        <v>0</v>
      </c>
      <c r="CP41" s="271">
        <f t="shared" si="132"/>
        <v>0</v>
      </c>
      <c r="CQ41" s="271">
        <f t="shared" si="133"/>
        <v>0</v>
      </c>
      <c r="CR41" s="271">
        <f t="shared" si="134"/>
        <v>0</v>
      </c>
      <c r="CS41" s="271">
        <f t="shared" si="155"/>
        <v>0</v>
      </c>
      <c r="CT41" s="271">
        <f t="shared" si="156"/>
        <v>0</v>
      </c>
      <c r="CU41" s="272">
        <f t="shared" si="157"/>
        <v>2033</v>
      </c>
      <c r="CV41" s="273">
        <f t="shared" si="135"/>
        <v>0</v>
      </c>
      <c r="CW41" s="273">
        <f t="shared" si="136"/>
        <v>0</v>
      </c>
      <c r="CX41" s="273">
        <f t="shared" si="137"/>
        <v>0</v>
      </c>
      <c r="CY41" s="273">
        <f>IF(CT40=0,0,IF(CT41&gt;0,0,IF(AND(SUM(CT$7:CT40)&gt;0,SUM(CT41:CT$100)=0),CB$42,0)))</f>
        <v>0</v>
      </c>
      <c r="CZ41" s="273">
        <f>IF(CT40=0,0,IF(CT41&gt;0,0,IF(AND(SUM(CT$7:CT40)&gt;0,SUM(CT41:CT$100)=0),CB$41,0)))</f>
        <v>0</v>
      </c>
      <c r="DA41" s="273">
        <f>IF(SUM(CT$7:CT$100)=0,0,IF(SUM(CT41:CT$100)=0,CZ41-CY41,CM41-SUM(CN41:CR41)-CY41+CZ41))</f>
        <v>0</v>
      </c>
      <c r="DB41" s="274">
        <f t="shared" si="158"/>
        <v>2033</v>
      </c>
      <c r="DC41" s="275">
        <f t="shared" si="55"/>
        <v>0</v>
      </c>
      <c r="DD41" s="275">
        <f t="shared" si="56"/>
        <v>0</v>
      </c>
      <c r="DE41" s="275">
        <f t="shared" si="57"/>
        <v>0</v>
      </c>
      <c r="DF41" s="275">
        <f t="shared" si="58"/>
        <v>0</v>
      </c>
      <c r="DG41" s="360">
        <f t="shared" si="59"/>
        <v>0</v>
      </c>
      <c r="DH41" s="233"/>
      <c r="DI41" s="233"/>
      <c r="DJ41" s="233"/>
      <c r="DK41" s="233"/>
      <c r="DL41" s="37"/>
      <c r="DM41" s="37"/>
      <c r="DN41" s="37"/>
    </row>
    <row r="42" spans="1:118" ht="15">
      <c r="A42" s="211"/>
      <c r="B42" s="327"/>
      <c r="C42" s="331"/>
      <c r="D42" s="237"/>
      <c r="E42" s="237"/>
      <c r="F42" s="238">
        <f t="shared" si="106"/>
        <v>0</v>
      </c>
      <c r="G42" s="329"/>
      <c r="H42" s="239">
        <f t="shared" si="107"/>
        <v>0</v>
      </c>
      <c r="I42" s="322"/>
      <c r="J42" s="240">
        <f t="shared" si="108"/>
        <v>0</v>
      </c>
      <c r="K42" s="323"/>
      <c r="L42" s="241">
        <f t="shared" si="109"/>
        <v>0</v>
      </c>
      <c r="M42" s="324"/>
      <c r="N42" s="242">
        <f t="shared" si="110"/>
        <v>0</v>
      </c>
      <c r="O42" s="324"/>
      <c r="P42" s="243">
        <f t="shared" si="111"/>
        <v>0</v>
      </c>
      <c r="Q42" s="324"/>
      <c r="R42" s="244">
        <f t="shared" si="112"/>
        <v>0</v>
      </c>
      <c r="S42" s="325"/>
      <c r="T42" s="245">
        <f t="shared" si="113"/>
        <v>0</v>
      </c>
      <c r="U42" s="326"/>
      <c r="V42" s="246">
        <f t="shared" si="114"/>
        <v>0</v>
      </c>
      <c r="W42" s="326"/>
      <c r="X42" s="247">
        <f t="shared" si="115"/>
        <v>0</v>
      </c>
      <c r="Y42" s="248">
        <f t="shared" si="116"/>
        <v>0</v>
      </c>
      <c r="Z42" s="249">
        <f t="shared" si="117"/>
        <v>0</v>
      </c>
      <c r="AA42" s="249">
        <f t="shared" si="118"/>
        <v>0</v>
      </c>
      <c r="AB42" s="250">
        <f t="shared" si="119"/>
        <v>0</v>
      </c>
      <c r="AC42" s="250">
        <f t="shared" si="120"/>
        <v>0</v>
      </c>
      <c r="AD42" s="250">
        <f t="shared" si="159"/>
        <v>0</v>
      </c>
      <c r="AE42" s="239">
        <f t="shared" si="121"/>
        <v>0</v>
      </c>
      <c r="AF42" s="251">
        <f t="shared" si="122"/>
        <v>0</v>
      </c>
      <c r="AG42" s="251">
        <f t="shared" si="123"/>
        <v>0</v>
      </c>
      <c r="AH42" s="251">
        <f t="shared" si="138"/>
        <v>0</v>
      </c>
      <c r="AI42" s="251">
        <f t="shared" si="124"/>
        <v>0</v>
      </c>
      <c r="AJ42" s="251">
        <f t="shared" si="125"/>
        <v>0</v>
      </c>
      <c r="AK42" s="251">
        <f t="shared" si="139"/>
        <v>0</v>
      </c>
      <c r="AL42" s="245">
        <f t="shared" si="126"/>
        <v>0</v>
      </c>
      <c r="AM42" s="252">
        <f t="shared" si="140"/>
        <v>0</v>
      </c>
      <c r="AN42" s="252">
        <f t="shared" si="127"/>
        <v>0</v>
      </c>
      <c r="AO42" s="252">
        <f t="shared" si="128"/>
        <v>0</v>
      </c>
      <c r="AP42" s="252">
        <f t="shared" si="129"/>
        <v>0</v>
      </c>
      <c r="AQ42" s="252">
        <f t="shared" si="130"/>
        <v>0</v>
      </c>
      <c r="AR42" s="252">
        <f t="shared" si="141"/>
        <v>0</v>
      </c>
      <c r="AS42" s="131"/>
      <c r="AT42" s="131"/>
      <c r="AU42" s="132"/>
      <c r="AV42" s="37"/>
      <c r="AW42" s="37"/>
      <c r="AX42" s="37"/>
      <c r="AY42" s="414" t="s">
        <v>304</v>
      </c>
      <c r="AZ42" s="336">
        <v>6.5</v>
      </c>
      <c r="BA42" s="130"/>
      <c r="BB42" s="130"/>
      <c r="BC42" s="130"/>
      <c r="BD42" s="130"/>
      <c r="BE42" s="257">
        <f t="shared" si="142"/>
        <v>2034</v>
      </c>
      <c r="BF42" s="258">
        <v>0</v>
      </c>
      <c r="BG42" s="259"/>
      <c r="BH42" s="260"/>
      <c r="BI42" s="261"/>
      <c r="BJ42" s="262"/>
      <c r="BK42" s="263"/>
      <c r="BL42" s="264">
        <f t="shared" si="143"/>
        <v>2034</v>
      </c>
      <c r="BM42" s="258">
        <v>0</v>
      </c>
      <c r="BN42" s="259"/>
      <c r="BO42" s="260"/>
      <c r="BP42" s="261"/>
      <c r="BQ42" s="262"/>
      <c r="BR42" s="263"/>
      <c r="BS42" s="265">
        <f t="shared" si="144"/>
        <v>2034</v>
      </c>
      <c r="BT42" s="301">
        <v>0</v>
      </c>
      <c r="BU42" s="259"/>
      <c r="BV42" s="260"/>
      <c r="BW42" s="261"/>
      <c r="BX42" s="262"/>
      <c r="BY42" s="263"/>
      <c r="BZ42" s="368" t="s">
        <v>305</v>
      </c>
      <c r="CA42" s="368" t="s">
        <v>303</v>
      </c>
      <c r="CB42" s="369">
        <f>IF(CB$4&lt;AW$36,BB13,IF(CB$4&lt;AW$38,BC13,BD13))</f>
        <v>56000</v>
      </c>
      <c r="CC42" s="266">
        <f t="shared" si="145"/>
        <v>2034</v>
      </c>
      <c r="CD42" s="267">
        <f t="shared" si="105"/>
        <v>0</v>
      </c>
      <c r="CE42" s="267">
        <f t="shared" si="146"/>
        <v>0</v>
      </c>
      <c r="CF42" s="267">
        <f t="shared" si="147"/>
        <v>0</v>
      </c>
      <c r="CG42" s="267">
        <f t="shared" si="103"/>
        <v>0</v>
      </c>
      <c r="CH42" s="267">
        <f t="shared" si="148"/>
        <v>0</v>
      </c>
      <c r="CI42" s="267">
        <f t="shared" si="149"/>
        <v>0</v>
      </c>
      <c r="CJ42" s="269">
        <f t="shared" si="150"/>
        <v>24.84330080924696</v>
      </c>
      <c r="CK42" s="269">
        <f t="shared" si="151"/>
        <v>3.185062884042668</v>
      </c>
      <c r="CL42" s="270">
        <f t="shared" si="152"/>
        <v>2034</v>
      </c>
      <c r="CM42" s="271">
        <f t="shared" si="131"/>
        <v>0</v>
      </c>
      <c r="CN42" s="271">
        <f t="shared" si="153"/>
        <v>0</v>
      </c>
      <c r="CO42" s="271">
        <f t="shared" si="154"/>
        <v>0</v>
      </c>
      <c r="CP42" s="271">
        <f t="shared" si="132"/>
        <v>0</v>
      </c>
      <c r="CQ42" s="271">
        <f t="shared" si="133"/>
        <v>0</v>
      </c>
      <c r="CR42" s="271">
        <f t="shared" si="134"/>
        <v>0</v>
      </c>
      <c r="CS42" s="271">
        <f t="shared" si="155"/>
        <v>0</v>
      </c>
      <c r="CT42" s="271">
        <f t="shared" si="156"/>
        <v>0</v>
      </c>
      <c r="CU42" s="272">
        <f t="shared" si="157"/>
        <v>2034</v>
      </c>
      <c r="CV42" s="273">
        <f t="shared" si="135"/>
        <v>0</v>
      </c>
      <c r="CW42" s="273">
        <f t="shared" si="136"/>
        <v>0</v>
      </c>
      <c r="CX42" s="273">
        <f t="shared" si="137"/>
        <v>0</v>
      </c>
      <c r="CY42" s="273">
        <f>IF(CT41=0,0,IF(CT42&gt;0,0,IF(AND(SUM(CT$7:CT41)&gt;0,SUM(CT42:CT$100)=0),CB$42,0)))</f>
        <v>0</v>
      </c>
      <c r="CZ42" s="273">
        <f>IF(CT41=0,0,IF(CT42&gt;0,0,IF(AND(SUM(CT$7:CT41)&gt;0,SUM(CT42:CT$100)=0),CB$41,0)))</f>
        <v>0</v>
      </c>
      <c r="DA42" s="273">
        <f>IF(SUM(CT$7:CT$100)=0,0,IF(SUM(CT42:CT$100)=0,CZ42-CY42,CM42-SUM(CN42:CR42)-CY42+CZ42))</f>
        <v>0</v>
      </c>
      <c r="DB42" s="274">
        <f t="shared" si="158"/>
        <v>2034</v>
      </c>
      <c r="DC42" s="275">
        <f t="shared" si="55"/>
        <v>0</v>
      </c>
      <c r="DD42" s="275">
        <f t="shared" si="56"/>
        <v>0</v>
      </c>
      <c r="DE42" s="275">
        <f t="shared" si="57"/>
        <v>0</v>
      </c>
      <c r="DF42" s="275">
        <f t="shared" si="58"/>
        <v>0</v>
      </c>
      <c r="DG42" s="360">
        <f t="shared" si="59"/>
        <v>0</v>
      </c>
      <c r="DH42" s="233"/>
      <c r="DI42" s="233"/>
      <c r="DJ42" s="233"/>
      <c r="DK42" s="233"/>
      <c r="DL42" s="37"/>
      <c r="DM42" s="37"/>
      <c r="DN42" s="37"/>
    </row>
    <row r="43" spans="1:118" ht="20.25">
      <c r="A43" s="337"/>
      <c r="B43" s="327"/>
      <c r="C43" s="331"/>
      <c r="D43" s="237"/>
      <c r="E43" s="237"/>
      <c r="F43" s="238">
        <f t="shared" si="106"/>
        <v>0</v>
      </c>
      <c r="G43" s="329"/>
      <c r="H43" s="239">
        <f t="shared" si="107"/>
        <v>0</v>
      </c>
      <c r="I43" s="322"/>
      <c r="J43" s="240">
        <f t="shared" si="108"/>
        <v>0</v>
      </c>
      <c r="K43" s="323"/>
      <c r="L43" s="241">
        <f t="shared" si="109"/>
        <v>0</v>
      </c>
      <c r="M43" s="324"/>
      <c r="N43" s="242">
        <f t="shared" si="110"/>
        <v>0</v>
      </c>
      <c r="O43" s="324"/>
      <c r="P43" s="243">
        <f t="shared" si="111"/>
        <v>0</v>
      </c>
      <c r="Q43" s="324"/>
      <c r="R43" s="244">
        <f t="shared" si="112"/>
        <v>0</v>
      </c>
      <c r="S43" s="325"/>
      <c r="T43" s="245">
        <f t="shared" si="113"/>
        <v>0</v>
      </c>
      <c r="U43" s="326"/>
      <c r="V43" s="246">
        <f t="shared" si="114"/>
        <v>0</v>
      </c>
      <c r="W43" s="326"/>
      <c r="X43" s="247">
        <f t="shared" si="115"/>
        <v>0</v>
      </c>
      <c r="Y43" s="248">
        <f t="shared" si="116"/>
        <v>0</v>
      </c>
      <c r="Z43" s="249">
        <f t="shared" si="117"/>
        <v>0</v>
      </c>
      <c r="AA43" s="249">
        <f t="shared" si="118"/>
        <v>0</v>
      </c>
      <c r="AB43" s="250">
        <f t="shared" si="119"/>
        <v>0</v>
      </c>
      <c r="AC43" s="250">
        <f t="shared" si="120"/>
        <v>0</v>
      </c>
      <c r="AD43" s="250">
        <f t="shared" si="159"/>
        <v>0</v>
      </c>
      <c r="AE43" s="239">
        <f t="shared" si="121"/>
        <v>0</v>
      </c>
      <c r="AF43" s="251">
        <f t="shared" si="122"/>
        <v>0</v>
      </c>
      <c r="AG43" s="251">
        <f t="shared" si="123"/>
        <v>0</v>
      </c>
      <c r="AH43" s="251">
        <f t="shared" si="138"/>
        <v>0</v>
      </c>
      <c r="AI43" s="251">
        <f t="shared" si="124"/>
        <v>0</v>
      </c>
      <c r="AJ43" s="251">
        <f t="shared" si="125"/>
        <v>0</v>
      </c>
      <c r="AK43" s="251">
        <f t="shared" si="139"/>
        <v>0</v>
      </c>
      <c r="AL43" s="245">
        <f t="shared" si="126"/>
        <v>0</v>
      </c>
      <c r="AM43" s="252">
        <f t="shared" si="140"/>
        <v>0</v>
      </c>
      <c r="AN43" s="252">
        <f t="shared" si="127"/>
        <v>0</v>
      </c>
      <c r="AO43" s="252">
        <f t="shared" si="128"/>
        <v>0</v>
      </c>
      <c r="AP43" s="252">
        <f t="shared" si="129"/>
        <v>0</v>
      </c>
      <c r="AQ43" s="252">
        <f t="shared" si="130"/>
        <v>0</v>
      </c>
      <c r="AR43" s="252">
        <f t="shared" si="141"/>
        <v>0</v>
      </c>
      <c r="AS43" s="131"/>
      <c r="AT43" s="131"/>
      <c r="AU43" s="132"/>
      <c r="AV43" s="221" t="s">
        <v>306</v>
      </c>
      <c r="AW43" s="87"/>
      <c r="AX43" s="87"/>
      <c r="AY43" s="194"/>
      <c r="AZ43" s="39"/>
      <c r="BA43" s="131"/>
      <c r="BB43" s="131"/>
      <c r="BC43" s="131"/>
      <c r="BD43" s="131"/>
      <c r="BE43" s="257">
        <f t="shared" si="142"/>
        <v>2035</v>
      </c>
      <c r="BF43" s="258">
        <v>0</v>
      </c>
      <c r="BG43" s="259"/>
      <c r="BH43" s="260"/>
      <c r="BI43" s="261"/>
      <c r="BJ43" s="262"/>
      <c r="BK43" s="263"/>
      <c r="BL43" s="264">
        <f t="shared" si="143"/>
        <v>2035</v>
      </c>
      <c r="BM43" s="258">
        <v>0</v>
      </c>
      <c r="BN43" s="259"/>
      <c r="BO43" s="260"/>
      <c r="BP43" s="261"/>
      <c r="BQ43" s="262"/>
      <c r="BR43" s="263"/>
      <c r="BS43" s="265">
        <f t="shared" si="144"/>
        <v>2035</v>
      </c>
      <c r="BT43" s="301">
        <v>0</v>
      </c>
      <c r="BU43" s="259"/>
      <c r="BV43" s="260"/>
      <c r="BW43" s="261"/>
      <c r="BX43" s="262"/>
      <c r="BY43" s="263"/>
      <c r="BZ43" s="368" t="s">
        <v>307</v>
      </c>
      <c r="CA43" s="368" t="s">
        <v>262</v>
      </c>
      <c r="CB43" s="382">
        <f>AZ6+CB36</f>
        <v>21.689524087764156</v>
      </c>
      <c r="CC43" s="266">
        <f t="shared" si="145"/>
        <v>2035</v>
      </c>
      <c r="CD43" s="267">
        <f t="shared" si="105"/>
        <v>0</v>
      </c>
      <c r="CE43" s="267">
        <f t="shared" si="146"/>
        <v>0</v>
      </c>
      <c r="CF43" s="267">
        <f t="shared" si="147"/>
        <v>0</v>
      </c>
      <c r="CG43" s="267">
        <f aca="true" t="shared" si="160" ref="CG43:CG58">IF(CB$5&gt;=CB$6,IF(CF43&gt;0,CB$8,IF(AND(CE43=0,CF42&lt;CB$8),CF42,CE43+CF42)),IF(CF43&gt;0,CB$9,IF(AND(CE43=0,CF42&lt;CB$9),CF42,CE43+CF42)))</f>
        <v>0</v>
      </c>
      <c r="CH43" s="267">
        <f t="shared" si="148"/>
        <v>0</v>
      </c>
      <c r="CI43" s="267">
        <f t="shared" si="149"/>
        <v>0</v>
      </c>
      <c r="CJ43" s="269">
        <f t="shared" si="150"/>
        <v>25.017203914911686</v>
      </c>
      <c r="CK43" s="269">
        <f t="shared" si="151"/>
        <v>3.204173261346924</v>
      </c>
      <c r="CL43" s="270">
        <f t="shared" si="152"/>
        <v>2035</v>
      </c>
      <c r="CM43" s="271">
        <f t="shared" si="131"/>
        <v>0</v>
      </c>
      <c r="CN43" s="271">
        <f t="shared" si="153"/>
        <v>0</v>
      </c>
      <c r="CO43" s="271">
        <f t="shared" si="154"/>
        <v>0</v>
      </c>
      <c r="CP43" s="271">
        <f t="shared" si="132"/>
        <v>0</v>
      </c>
      <c r="CQ43" s="271">
        <f t="shared" si="133"/>
        <v>0</v>
      </c>
      <c r="CR43" s="271">
        <f t="shared" si="134"/>
        <v>0</v>
      </c>
      <c r="CS43" s="271">
        <f t="shared" si="155"/>
        <v>0</v>
      </c>
      <c r="CT43" s="271">
        <f t="shared" si="156"/>
        <v>0</v>
      </c>
      <c r="CU43" s="272">
        <f t="shared" si="157"/>
        <v>2035</v>
      </c>
      <c r="CV43" s="273">
        <f t="shared" si="135"/>
        <v>0</v>
      </c>
      <c r="CW43" s="273">
        <f t="shared" si="136"/>
        <v>0</v>
      </c>
      <c r="CX43" s="273">
        <f t="shared" si="137"/>
        <v>0</v>
      </c>
      <c r="CY43" s="273">
        <f>IF(CT42=0,0,IF(CT43&gt;0,0,IF(AND(SUM(CT$7:CT42)&gt;0,SUM(CT43:CT$100)=0),CB$42,0)))</f>
        <v>0</v>
      </c>
      <c r="CZ43" s="273">
        <f>IF(CT42=0,0,IF(CT43&gt;0,0,IF(AND(SUM(CT$7:CT42)&gt;0,SUM(CT43:CT$100)=0),CB$41,0)))</f>
        <v>0</v>
      </c>
      <c r="DA43" s="273">
        <f>IF(SUM(CT$7:CT$100)=0,0,IF(SUM(CT43:CT$100)=0,CZ43-CY43,CM43-SUM(CN43:CR43)-CY43+CZ43))</f>
        <v>0</v>
      </c>
      <c r="DB43" s="274">
        <f t="shared" si="158"/>
        <v>2035</v>
      </c>
      <c r="DC43" s="275">
        <f t="shared" si="55"/>
        <v>0</v>
      </c>
      <c r="DD43" s="275">
        <f t="shared" si="56"/>
        <v>0</v>
      </c>
      <c r="DE43" s="275">
        <f t="shared" si="57"/>
        <v>0</v>
      </c>
      <c r="DF43" s="275">
        <f t="shared" si="58"/>
        <v>0</v>
      </c>
      <c r="DG43" s="360">
        <f t="shared" si="59"/>
        <v>0</v>
      </c>
      <c r="DH43" s="233"/>
      <c r="DI43" s="233"/>
      <c r="DJ43" s="233"/>
      <c r="DK43" s="233"/>
      <c r="DL43" s="37"/>
      <c r="DM43" s="37"/>
      <c r="DN43" s="37"/>
    </row>
    <row r="44" spans="1:118" ht="15">
      <c r="A44" s="337"/>
      <c r="B44" s="327"/>
      <c r="C44" s="331"/>
      <c r="D44" s="237"/>
      <c r="E44" s="237"/>
      <c r="F44" s="238">
        <f t="shared" si="106"/>
        <v>0</v>
      </c>
      <c r="G44" s="329"/>
      <c r="H44" s="239">
        <f t="shared" si="107"/>
        <v>0</v>
      </c>
      <c r="I44" s="322"/>
      <c r="J44" s="240">
        <f t="shared" si="108"/>
        <v>0</v>
      </c>
      <c r="K44" s="323"/>
      <c r="L44" s="241">
        <f t="shared" si="109"/>
        <v>0</v>
      </c>
      <c r="M44" s="324"/>
      <c r="N44" s="242">
        <f t="shared" si="110"/>
        <v>0</v>
      </c>
      <c r="O44" s="324"/>
      <c r="P44" s="243">
        <f t="shared" si="111"/>
        <v>0</v>
      </c>
      <c r="Q44" s="324"/>
      <c r="R44" s="244">
        <f t="shared" si="112"/>
        <v>0</v>
      </c>
      <c r="S44" s="325"/>
      <c r="T44" s="245">
        <f t="shared" si="113"/>
        <v>0</v>
      </c>
      <c r="U44" s="326"/>
      <c r="V44" s="246">
        <f t="shared" si="114"/>
        <v>0</v>
      </c>
      <c r="W44" s="326"/>
      <c r="X44" s="247">
        <f t="shared" si="115"/>
        <v>0</v>
      </c>
      <c r="Y44" s="248">
        <f t="shared" si="116"/>
        <v>0</v>
      </c>
      <c r="Z44" s="249">
        <f t="shared" si="117"/>
        <v>0</v>
      </c>
      <c r="AA44" s="249">
        <f t="shared" si="118"/>
        <v>0</v>
      </c>
      <c r="AB44" s="250">
        <f t="shared" si="119"/>
        <v>0</v>
      </c>
      <c r="AC44" s="250">
        <f t="shared" si="120"/>
        <v>0</v>
      </c>
      <c r="AD44" s="250">
        <f t="shared" si="159"/>
        <v>0</v>
      </c>
      <c r="AE44" s="239">
        <f t="shared" si="121"/>
        <v>0</v>
      </c>
      <c r="AF44" s="251">
        <f t="shared" si="122"/>
        <v>0</v>
      </c>
      <c r="AG44" s="251">
        <f t="shared" si="123"/>
        <v>0</v>
      </c>
      <c r="AH44" s="251">
        <f t="shared" si="138"/>
        <v>0</v>
      </c>
      <c r="AI44" s="251">
        <f t="shared" si="124"/>
        <v>0</v>
      </c>
      <c r="AJ44" s="251">
        <f t="shared" si="125"/>
        <v>0</v>
      </c>
      <c r="AK44" s="251">
        <f t="shared" si="139"/>
        <v>0</v>
      </c>
      <c r="AL44" s="245">
        <f t="shared" si="126"/>
        <v>0</v>
      </c>
      <c r="AM44" s="252">
        <f t="shared" si="140"/>
        <v>0</v>
      </c>
      <c r="AN44" s="252">
        <f t="shared" si="127"/>
        <v>0</v>
      </c>
      <c r="AO44" s="252">
        <f t="shared" si="128"/>
        <v>0</v>
      </c>
      <c r="AP44" s="252">
        <f t="shared" si="129"/>
        <v>0</v>
      </c>
      <c r="AQ44" s="252">
        <f t="shared" si="130"/>
        <v>0</v>
      </c>
      <c r="AR44" s="252">
        <f t="shared" si="141"/>
        <v>0</v>
      </c>
      <c r="AS44" s="131"/>
      <c r="AT44" s="131"/>
      <c r="AU44" s="132"/>
      <c r="AV44" s="37"/>
      <c r="AW44" s="37"/>
      <c r="AX44" s="37"/>
      <c r="AY44" s="39"/>
      <c r="AZ44" s="39"/>
      <c r="BA44" s="131"/>
      <c r="BB44" s="131"/>
      <c r="BC44" s="131"/>
      <c r="BD44" s="131"/>
      <c r="BE44" s="257">
        <f t="shared" si="142"/>
        <v>2036</v>
      </c>
      <c r="BF44" s="258">
        <v>0</v>
      </c>
      <c r="BG44" s="259"/>
      <c r="BH44" s="260"/>
      <c r="BI44" s="261"/>
      <c r="BJ44" s="262"/>
      <c r="BK44" s="263"/>
      <c r="BL44" s="264">
        <f t="shared" si="143"/>
        <v>2036</v>
      </c>
      <c r="BM44" s="258">
        <v>0</v>
      </c>
      <c r="BN44" s="259"/>
      <c r="BO44" s="260"/>
      <c r="BP44" s="261"/>
      <c r="BQ44" s="262"/>
      <c r="BR44" s="263"/>
      <c r="BS44" s="265">
        <f t="shared" si="144"/>
        <v>2036</v>
      </c>
      <c r="BT44" s="301">
        <v>0</v>
      </c>
      <c r="BU44" s="259"/>
      <c r="BV44" s="260"/>
      <c r="BW44" s="261"/>
      <c r="BX44" s="262"/>
      <c r="BY44" s="263"/>
      <c r="BZ44" s="368" t="s">
        <v>308</v>
      </c>
      <c r="CA44" s="368" t="s">
        <v>309</v>
      </c>
      <c r="CB44" s="383">
        <f>1+AZ7</f>
        <v>0.974</v>
      </c>
      <c r="CC44" s="266">
        <f t="shared" si="145"/>
        <v>2036</v>
      </c>
      <c r="CD44" s="267">
        <f aca="true" t="shared" si="161" ref="CD44:CD59">IF(CB$12&lt;AW$36,BK44,IF(CB$12&lt;AW$38,BR44,BY44))</f>
        <v>0</v>
      </c>
      <c r="CE44" s="267">
        <f t="shared" si="146"/>
        <v>0</v>
      </c>
      <c r="CF44" s="267">
        <f t="shared" si="147"/>
        <v>0</v>
      </c>
      <c r="CG44" s="267">
        <f t="shared" si="160"/>
        <v>0</v>
      </c>
      <c r="CH44" s="267">
        <f t="shared" si="148"/>
        <v>0</v>
      </c>
      <c r="CI44" s="267">
        <f t="shared" si="149"/>
        <v>0</v>
      </c>
      <c r="CJ44" s="269">
        <f t="shared" si="150"/>
        <v>25.192324342316066</v>
      </c>
      <c r="CK44" s="269">
        <f t="shared" si="151"/>
        <v>3.2233983009150053</v>
      </c>
      <c r="CL44" s="270">
        <f t="shared" si="152"/>
        <v>2036</v>
      </c>
      <c r="CM44" s="271">
        <f t="shared" si="131"/>
        <v>0</v>
      </c>
      <c r="CN44" s="271">
        <f t="shared" si="153"/>
        <v>0</v>
      </c>
      <c r="CO44" s="271">
        <f t="shared" si="154"/>
        <v>0</v>
      </c>
      <c r="CP44" s="271">
        <f t="shared" si="132"/>
        <v>0</v>
      </c>
      <c r="CQ44" s="271">
        <f t="shared" si="133"/>
        <v>0</v>
      </c>
      <c r="CR44" s="271">
        <f t="shared" si="134"/>
        <v>0</v>
      </c>
      <c r="CS44" s="271">
        <f t="shared" si="155"/>
        <v>0</v>
      </c>
      <c r="CT44" s="271">
        <f t="shared" si="156"/>
        <v>0</v>
      </c>
      <c r="CU44" s="272">
        <f t="shared" si="157"/>
        <v>2036</v>
      </c>
      <c r="CV44" s="273">
        <f t="shared" si="135"/>
        <v>0</v>
      </c>
      <c r="CW44" s="273">
        <f t="shared" si="136"/>
        <v>0</v>
      </c>
      <c r="CX44" s="273">
        <f t="shared" si="137"/>
        <v>0</v>
      </c>
      <c r="CY44" s="273">
        <f>IF(CT43=0,0,IF(CT44&gt;0,0,IF(AND(SUM(CT$7:CT43)&gt;0,SUM(CT44:CT$100)=0),CB$42,0)))</f>
        <v>0</v>
      </c>
      <c r="CZ44" s="273">
        <f>IF(CT43=0,0,IF(CT44&gt;0,0,IF(AND(SUM(CT$7:CT43)&gt;0,SUM(CT44:CT$100)=0),CB$41,0)))</f>
        <v>0</v>
      </c>
      <c r="DA44" s="273">
        <f>IF(SUM(CT$7:CT$100)=0,0,IF(SUM(CT44:CT$100)=0,CZ44-CY44,CM44-SUM(CN44:CR44)-CY44+CZ44))</f>
        <v>0</v>
      </c>
      <c r="DB44" s="274">
        <f t="shared" si="158"/>
        <v>2036</v>
      </c>
      <c r="DC44" s="275">
        <f t="shared" si="55"/>
        <v>0</v>
      </c>
      <c r="DD44" s="275">
        <f t="shared" si="56"/>
        <v>0</v>
      </c>
      <c r="DE44" s="275">
        <f t="shared" si="57"/>
        <v>0</v>
      </c>
      <c r="DF44" s="275">
        <f t="shared" si="58"/>
        <v>0</v>
      </c>
      <c r="DG44" s="360">
        <f t="shared" si="59"/>
        <v>0</v>
      </c>
      <c r="DH44" s="175"/>
      <c r="DI44" s="338"/>
      <c r="DJ44" s="233"/>
      <c r="DK44" s="233"/>
      <c r="DL44" s="37"/>
      <c r="DM44" s="37"/>
      <c r="DN44" s="37"/>
    </row>
    <row r="45" spans="1:118" ht="15">
      <c r="A45" s="337"/>
      <c r="B45" s="327"/>
      <c r="C45" s="331"/>
      <c r="D45" s="237"/>
      <c r="E45" s="237"/>
      <c r="F45" s="238">
        <f t="shared" si="106"/>
        <v>0</v>
      </c>
      <c r="G45" s="329"/>
      <c r="H45" s="239">
        <f t="shared" si="107"/>
        <v>0</v>
      </c>
      <c r="I45" s="322"/>
      <c r="J45" s="240">
        <f t="shared" si="108"/>
        <v>0</v>
      </c>
      <c r="K45" s="323"/>
      <c r="L45" s="241">
        <f t="shared" si="109"/>
        <v>0</v>
      </c>
      <c r="M45" s="324"/>
      <c r="N45" s="242">
        <f t="shared" si="110"/>
        <v>0</v>
      </c>
      <c r="O45" s="324"/>
      <c r="P45" s="243">
        <f t="shared" si="111"/>
        <v>0</v>
      </c>
      <c r="Q45" s="324"/>
      <c r="R45" s="244">
        <f t="shared" si="112"/>
        <v>0</v>
      </c>
      <c r="S45" s="325"/>
      <c r="T45" s="245">
        <f t="shared" si="113"/>
        <v>0</v>
      </c>
      <c r="U45" s="326"/>
      <c r="V45" s="246">
        <f t="shared" si="114"/>
        <v>0</v>
      </c>
      <c r="W45" s="326"/>
      <c r="X45" s="247">
        <f t="shared" si="115"/>
        <v>0</v>
      </c>
      <c r="Y45" s="248">
        <f t="shared" si="116"/>
        <v>0</v>
      </c>
      <c r="Z45" s="249">
        <f t="shared" si="117"/>
        <v>0</v>
      </c>
      <c r="AA45" s="249">
        <f t="shared" si="118"/>
        <v>0</v>
      </c>
      <c r="AB45" s="250">
        <f t="shared" si="119"/>
        <v>0</v>
      </c>
      <c r="AC45" s="250">
        <f t="shared" si="120"/>
        <v>0</v>
      </c>
      <c r="AD45" s="250">
        <f t="shared" si="159"/>
        <v>0</v>
      </c>
      <c r="AE45" s="239">
        <f t="shared" si="121"/>
        <v>0</v>
      </c>
      <c r="AF45" s="251">
        <f t="shared" si="122"/>
        <v>0</v>
      </c>
      <c r="AG45" s="251">
        <f t="shared" si="123"/>
        <v>0</v>
      </c>
      <c r="AH45" s="251">
        <f t="shared" si="138"/>
        <v>0</v>
      </c>
      <c r="AI45" s="251">
        <f t="shared" si="124"/>
        <v>0</v>
      </c>
      <c r="AJ45" s="251">
        <f t="shared" si="125"/>
        <v>0</v>
      </c>
      <c r="AK45" s="251">
        <f t="shared" si="139"/>
        <v>0</v>
      </c>
      <c r="AL45" s="245">
        <f t="shared" si="126"/>
        <v>0</v>
      </c>
      <c r="AM45" s="252">
        <f t="shared" si="140"/>
        <v>0</v>
      </c>
      <c r="AN45" s="252">
        <f t="shared" si="127"/>
        <v>0</v>
      </c>
      <c r="AO45" s="252">
        <f t="shared" si="128"/>
        <v>0</v>
      </c>
      <c r="AP45" s="252">
        <f t="shared" si="129"/>
        <v>0</v>
      </c>
      <c r="AQ45" s="252">
        <f t="shared" si="130"/>
        <v>0</v>
      </c>
      <c r="AR45" s="252">
        <f t="shared" si="141"/>
        <v>0</v>
      </c>
      <c r="AS45" s="131"/>
      <c r="AT45" s="131"/>
      <c r="AU45" s="132"/>
      <c r="AV45" s="406" t="s">
        <v>310</v>
      </c>
      <c r="AW45" s="407"/>
      <c r="AX45" s="458">
        <v>7990.916065921025</v>
      </c>
      <c r="AY45" s="194"/>
      <c r="AZ45" s="39"/>
      <c r="BA45" s="131"/>
      <c r="BB45" s="131"/>
      <c r="BC45" s="131"/>
      <c r="BD45" s="131"/>
      <c r="BE45" s="257">
        <f t="shared" si="142"/>
        <v>2037</v>
      </c>
      <c r="BF45" s="258">
        <v>0</v>
      </c>
      <c r="BG45" s="259"/>
      <c r="BH45" s="260"/>
      <c r="BI45" s="261"/>
      <c r="BJ45" s="262"/>
      <c r="BK45" s="263"/>
      <c r="BL45" s="264">
        <f t="shared" si="143"/>
        <v>2037</v>
      </c>
      <c r="BM45" s="258">
        <v>0</v>
      </c>
      <c r="BN45" s="259"/>
      <c r="BO45" s="260"/>
      <c r="BP45" s="261"/>
      <c r="BQ45" s="262"/>
      <c r="BR45" s="263"/>
      <c r="BS45" s="265">
        <f t="shared" si="144"/>
        <v>2037</v>
      </c>
      <c r="BT45" s="301">
        <v>0</v>
      </c>
      <c r="BU45" s="259"/>
      <c r="BV45" s="260"/>
      <c r="BW45" s="261"/>
      <c r="BX45" s="262"/>
      <c r="BY45" s="263"/>
      <c r="BZ45" s="368" t="s">
        <v>311</v>
      </c>
      <c r="CA45" s="368" t="s">
        <v>291</v>
      </c>
      <c r="CB45" s="382">
        <f>AZ32+CB40</f>
        <v>2.2691576611065236</v>
      </c>
      <c r="CC45" s="266">
        <f t="shared" si="145"/>
        <v>2037</v>
      </c>
      <c r="CD45" s="267">
        <f t="shared" si="161"/>
        <v>0</v>
      </c>
      <c r="CE45" s="267">
        <f t="shared" si="146"/>
        <v>0</v>
      </c>
      <c r="CF45" s="267">
        <f t="shared" si="147"/>
        <v>0</v>
      </c>
      <c r="CG45" s="267">
        <f t="shared" si="160"/>
        <v>0</v>
      </c>
      <c r="CH45" s="267">
        <f t="shared" si="148"/>
        <v>0</v>
      </c>
      <c r="CI45" s="267">
        <f t="shared" si="149"/>
        <v>0</v>
      </c>
      <c r="CJ45" s="269">
        <f t="shared" si="150"/>
        <v>25.368670612712275</v>
      </c>
      <c r="CK45" s="269">
        <f t="shared" si="151"/>
        <v>3.242738690720496</v>
      </c>
      <c r="CL45" s="270">
        <f t="shared" si="152"/>
        <v>2037</v>
      </c>
      <c r="CM45" s="271">
        <f t="shared" si="131"/>
        <v>0</v>
      </c>
      <c r="CN45" s="271">
        <f t="shared" si="153"/>
        <v>0</v>
      </c>
      <c r="CO45" s="271">
        <f t="shared" si="154"/>
        <v>0</v>
      </c>
      <c r="CP45" s="271">
        <f t="shared" si="132"/>
        <v>0</v>
      </c>
      <c r="CQ45" s="271">
        <f t="shared" si="133"/>
        <v>0</v>
      </c>
      <c r="CR45" s="271">
        <f t="shared" si="134"/>
        <v>0</v>
      </c>
      <c r="CS45" s="271">
        <f t="shared" si="155"/>
        <v>0</v>
      </c>
      <c r="CT45" s="271">
        <f t="shared" si="156"/>
        <v>0</v>
      </c>
      <c r="CU45" s="272">
        <f t="shared" si="157"/>
        <v>2037</v>
      </c>
      <c r="CV45" s="273">
        <f t="shared" si="135"/>
        <v>0</v>
      </c>
      <c r="CW45" s="273">
        <f t="shared" si="136"/>
        <v>0</v>
      </c>
      <c r="CX45" s="273">
        <f t="shared" si="137"/>
        <v>0</v>
      </c>
      <c r="CY45" s="273">
        <f>IF(CT44=0,0,IF(CT45&gt;0,0,IF(AND(SUM(CT$7:CT44)&gt;0,SUM(CT45:CT$100)=0),CB$42,0)))</f>
        <v>0</v>
      </c>
      <c r="CZ45" s="273">
        <f>IF(CT44=0,0,IF(CT45&gt;0,0,IF(AND(SUM(CT$7:CT44)&gt;0,SUM(CT45:CT$100)=0),CB$41,0)))</f>
        <v>0</v>
      </c>
      <c r="DA45" s="273">
        <f>IF(SUM(CT$7:CT$100)=0,0,IF(SUM(CT45:CT$100)=0,CZ45-CY45,CM45-SUM(CN45:CR45)-CY45+CZ45))</f>
        <v>0</v>
      </c>
      <c r="DB45" s="274">
        <f t="shared" si="158"/>
        <v>2037</v>
      </c>
      <c r="DC45" s="275">
        <f t="shared" si="55"/>
        <v>0</v>
      </c>
      <c r="DD45" s="275">
        <f t="shared" si="56"/>
        <v>0</v>
      </c>
      <c r="DE45" s="275">
        <f t="shared" si="57"/>
        <v>0</v>
      </c>
      <c r="DF45" s="275">
        <f t="shared" si="58"/>
        <v>0</v>
      </c>
      <c r="DG45" s="360">
        <f t="shared" si="59"/>
        <v>0</v>
      </c>
      <c r="DH45" s="56"/>
      <c r="DI45" s="56"/>
      <c r="DJ45" s="233"/>
      <c r="DK45" s="233"/>
      <c r="DL45" s="37"/>
      <c r="DM45" s="37"/>
      <c r="DN45" s="37"/>
    </row>
    <row r="46" spans="1:118" ht="15">
      <c r="A46" s="337"/>
      <c r="B46" s="327"/>
      <c r="C46" s="331"/>
      <c r="D46" s="237"/>
      <c r="E46" s="237"/>
      <c r="F46" s="238">
        <f t="shared" si="106"/>
        <v>0</v>
      </c>
      <c r="G46" s="329"/>
      <c r="H46" s="239">
        <f t="shared" si="107"/>
        <v>0</v>
      </c>
      <c r="I46" s="322"/>
      <c r="J46" s="240">
        <f t="shared" si="108"/>
        <v>0</v>
      </c>
      <c r="K46" s="323"/>
      <c r="L46" s="241">
        <f t="shared" si="109"/>
        <v>0</v>
      </c>
      <c r="M46" s="324"/>
      <c r="N46" s="242">
        <f t="shared" si="110"/>
        <v>0</v>
      </c>
      <c r="O46" s="324"/>
      <c r="P46" s="243">
        <f t="shared" si="111"/>
        <v>0</v>
      </c>
      <c r="Q46" s="324"/>
      <c r="R46" s="244">
        <f t="shared" si="112"/>
        <v>0</v>
      </c>
      <c r="S46" s="325"/>
      <c r="T46" s="245">
        <f t="shared" si="113"/>
        <v>0</v>
      </c>
      <c r="U46" s="326"/>
      <c r="V46" s="246">
        <f t="shared" si="114"/>
        <v>0</v>
      </c>
      <c r="W46" s="326"/>
      <c r="X46" s="247">
        <f t="shared" si="115"/>
        <v>0</v>
      </c>
      <c r="Y46" s="248">
        <f t="shared" si="116"/>
        <v>0</v>
      </c>
      <c r="Z46" s="249">
        <f t="shared" si="117"/>
        <v>0</v>
      </c>
      <c r="AA46" s="249">
        <f t="shared" si="118"/>
        <v>0</v>
      </c>
      <c r="AB46" s="250">
        <f t="shared" si="119"/>
        <v>0</v>
      </c>
      <c r="AC46" s="250">
        <f t="shared" si="120"/>
        <v>0</v>
      </c>
      <c r="AD46" s="250">
        <f t="shared" si="159"/>
        <v>0</v>
      </c>
      <c r="AE46" s="239">
        <f t="shared" si="121"/>
        <v>0</v>
      </c>
      <c r="AF46" s="251">
        <f t="shared" si="122"/>
        <v>0</v>
      </c>
      <c r="AG46" s="251">
        <f t="shared" si="123"/>
        <v>0</v>
      </c>
      <c r="AH46" s="251">
        <f t="shared" si="138"/>
        <v>0</v>
      </c>
      <c r="AI46" s="251">
        <f t="shared" si="124"/>
        <v>0</v>
      </c>
      <c r="AJ46" s="251">
        <f t="shared" si="125"/>
        <v>0</v>
      </c>
      <c r="AK46" s="251">
        <f t="shared" si="139"/>
        <v>0</v>
      </c>
      <c r="AL46" s="245">
        <f t="shared" si="126"/>
        <v>0</v>
      </c>
      <c r="AM46" s="252">
        <f t="shared" si="140"/>
        <v>0</v>
      </c>
      <c r="AN46" s="252">
        <f t="shared" si="127"/>
        <v>0</v>
      </c>
      <c r="AO46" s="252">
        <f t="shared" si="128"/>
        <v>0</v>
      </c>
      <c r="AP46" s="252">
        <f t="shared" si="129"/>
        <v>0</v>
      </c>
      <c r="AQ46" s="252">
        <f t="shared" si="130"/>
        <v>0</v>
      </c>
      <c r="AR46" s="252">
        <f t="shared" si="141"/>
        <v>0</v>
      </c>
      <c r="AS46" s="131"/>
      <c r="AT46" s="131"/>
      <c r="AU46" s="132"/>
      <c r="AV46" s="401"/>
      <c r="AW46" s="408"/>
      <c r="AX46" s="340"/>
      <c r="AY46" s="39"/>
      <c r="AZ46" s="39"/>
      <c r="BA46" s="131"/>
      <c r="BB46" s="131"/>
      <c r="BC46" s="131"/>
      <c r="BD46" s="131"/>
      <c r="BE46" s="257">
        <f t="shared" si="142"/>
        <v>2038</v>
      </c>
      <c r="BF46" s="258">
        <v>0</v>
      </c>
      <c r="BG46" s="259"/>
      <c r="BH46" s="260"/>
      <c r="BI46" s="261"/>
      <c r="BJ46" s="262"/>
      <c r="BK46" s="263"/>
      <c r="BL46" s="264">
        <f t="shared" si="143"/>
        <v>2038</v>
      </c>
      <c r="BM46" s="258">
        <v>0</v>
      </c>
      <c r="BN46" s="259"/>
      <c r="BO46" s="260"/>
      <c r="BP46" s="261"/>
      <c r="BQ46" s="262"/>
      <c r="BR46" s="263"/>
      <c r="BS46" s="265">
        <f t="shared" si="144"/>
        <v>2038</v>
      </c>
      <c r="BT46" s="301">
        <v>0</v>
      </c>
      <c r="BU46" s="259"/>
      <c r="BV46" s="260"/>
      <c r="BW46" s="261"/>
      <c r="BX46" s="262"/>
      <c r="BY46" s="263"/>
      <c r="BZ46" s="368" t="s">
        <v>312</v>
      </c>
      <c r="CA46" s="368" t="s">
        <v>309</v>
      </c>
      <c r="CB46" s="383">
        <f>1+AZ33</f>
        <v>1.0238829919892944</v>
      </c>
      <c r="CC46" s="266">
        <f t="shared" si="145"/>
        <v>2038</v>
      </c>
      <c r="CD46" s="267">
        <f t="shared" si="161"/>
        <v>0</v>
      </c>
      <c r="CE46" s="267">
        <f t="shared" si="146"/>
        <v>0</v>
      </c>
      <c r="CF46" s="267">
        <f t="shared" si="147"/>
        <v>0</v>
      </c>
      <c r="CG46" s="267">
        <f t="shared" si="160"/>
        <v>0</v>
      </c>
      <c r="CH46" s="267">
        <f t="shared" si="148"/>
        <v>0</v>
      </c>
      <c r="CI46" s="267">
        <f t="shared" si="149"/>
        <v>0</v>
      </c>
      <c r="CJ46" s="269">
        <f t="shared" si="150"/>
        <v>25.546251307001256</v>
      </c>
      <c r="CK46" s="269">
        <f t="shared" si="151"/>
        <v>3.2621951228648185</v>
      </c>
      <c r="CL46" s="270">
        <f t="shared" si="152"/>
        <v>2038</v>
      </c>
      <c r="CM46" s="271">
        <f t="shared" si="131"/>
        <v>0</v>
      </c>
      <c r="CN46" s="271">
        <f t="shared" si="153"/>
        <v>0</v>
      </c>
      <c r="CO46" s="271">
        <f t="shared" si="154"/>
        <v>0</v>
      </c>
      <c r="CP46" s="271">
        <f t="shared" si="132"/>
        <v>0</v>
      </c>
      <c r="CQ46" s="271">
        <f t="shared" si="133"/>
        <v>0</v>
      </c>
      <c r="CR46" s="271">
        <f t="shared" si="134"/>
        <v>0</v>
      </c>
      <c r="CS46" s="271">
        <f t="shared" si="155"/>
        <v>0</v>
      </c>
      <c r="CT46" s="271">
        <f t="shared" si="156"/>
        <v>0</v>
      </c>
      <c r="CU46" s="272">
        <f t="shared" si="157"/>
        <v>2038</v>
      </c>
      <c r="CV46" s="273">
        <f t="shared" si="135"/>
        <v>0</v>
      </c>
      <c r="CW46" s="273">
        <f t="shared" si="136"/>
        <v>0</v>
      </c>
      <c r="CX46" s="273">
        <f t="shared" si="137"/>
        <v>0</v>
      </c>
      <c r="CY46" s="273">
        <f>IF(CT45=0,0,IF(CT46&gt;0,0,IF(AND(SUM(CT$7:CT45)&gt;0,SUM(CT46:CT$100)=0),CB$42,0)))</f>
        <v>0</v>
      </c>
      <c r="CZ46" s="273">
        <f>IF(CT45=0,0,IF(CT46&gt;0,0,IF(AND(SUM(CT$7:CT45)&gt;0,SUM(CT46:CT$100)=0),CB$41,0)))</f>
        <v>0</v>
      </c>
      <c r="DA46" s="273">
        <f>IF(SUM(CT$7:CT$100)=0,0,IF(SUM(CT46:CT$100)=0,CZ46-CY46,CM46-SUM(CN46:CR46)-CY46+CZ46))</f>
        <v>0</v>
      </c>
      <c r="DB46" s="274">
        <f t="shared" si="158"/>
        <v>2038</v>
      </c>
      <c r="DC46" s="275">
        <f t="shared" si="55"/>
        <v>0</v>
      </c>
      <c r="DD46" s="275">
        <f t="shared" si="56"/>
        <v>0</v>
      </c>
      <c r="DE46" s="275">
        <f t="shared" si="57"/>
        <v>0</v>
      </c>
      <c r="DF46" s="275">
        <f t="shared" si="58"/>
        <v>0</v>
      </c>
      <c r="DG46" s="360">
        <f t="shared" si="59"/>
        <v>0</v>
      </c>
      <c r="DH46" s="233"/>
      <c r="DI46" s="233"/>
      <c r="DJ46" s="233"/>
      <c r="DK46" s="233"/>
      <c r="DL46" s="37"/>
      <c r="DM46" s="37"/>
      <c r="DN46" s="37"/>
    </row>
    <row r="47" spans="1:118" ht="15">
      <c r="A47" s="337"/>
      <c r="B47" s="327"/>
      <c r="C47" s="331"/>
      <c r="D47" s="237"/>
      <c r="E47" s="237"/>
      <c r="F47" s="238">
        <f t="shared" si="106"/>
        <v>0</v>
      </c>
      <c r="G47" s="329"/>
      <c r="H47" s="239">
        <f t="shared" si="107"/>
        <v>0</v>
      </c>
      <c r="I47" s="322"/>
      <c r="J47" s="240">
        <f t="shared" si="108"/>
        <v>0</v>
      </c>
      <c r="K47" s="323"/>
      <c r="L47" s="241">
        <f t="shared" si="109"/>
        <v>0</v>
      </c>
      <c r="M47" s="324"/>
      <c r="N47" s="242">
        <f t="shared" si="110"/>
        <v>0</v>
      </c>
      <c r="O47" s="324"/>
      <c r="P47" s="243">
        <f t="shared" si="111"/>
        <v>0</v>
      </c>
      <c r="Q47" s="324"/>
      <c r="R47" s="244">
        <f t="shared" si="112"/>
        <v>0</v>
      </c>
      <c r="S47" s="325"/>
      <c r="T47" s="245">
        <f t="shared" si="113"/>
        <v>0</v>
      </c>
      <c r="U47" s="326"/>
      <c r="V47" s="246">
        <f t="shared" si="114"/>
        <v>0</v>
      </c>
      <c r="W47" s="326"/>
      <c r="X47" s="247">
        <f t="shared" si="115"/>
        <v>0</v>
      </c>
      <c r="Y47" s="248">
        <f t="shared" si="116"/>
        <v>0</v>
      </c>
      <c r="Z47" s="249">
        <f t="shared" si="117"/>
        <v>0</v>
      </c>
      <c r="AA47" s="249">
        <f t="shared" si="118"/>
        <v>0</v>
      </c>
      <c r="AB47" s="250">
        <f t="shared" si="119"/>
        <v>0</v>
      </c>
      <c r="AC47" s="250">
        <f t="shared" si="120"/>
        <v>0</v>
      </c>
      <c r="AD47" s="250">
        <f t="shared" si="159"/>
        <v>0</v>
      </c>
      <c r="AE47" s="239">
        <f t="shared" si="121"/>
        <v>0</v>
      </c>
      <c r="AF47" s="251">
        <f t="shared" si="122"/>
        <v>0</v>
      </c>
      <c r="AG47" s="251">
        <f t="shared" si="123"/>
        <v>0</v>
      </c>
      <c r="AH47" s="251">
        <f t="shared" si="138"/>
        <v>0</v>
      </c>
      <c r="AI47" s="251">
        <f t="shared" si="124"/>
        <v>0</v>
      </c>
      <c r="AJ47" s="251">
        <f t="shared" si="125"/>
        <v>0</v>
      </c>
      <c r="AK47" s="251">
        <f t="shared" si="139"/>
        <v>0</v>
      </c>
      <c r="AL47" s="245">
        <f t="shared" si="126"/>
        <v>0</v>
      </c>
      <c r="AM47" s="252">
        <f t="shared" si="140"/>
        <v>0</v>
      </c>
      <c r="AN47" s="252">
        <f t="shared" si="127"/>
        <v>0</v>
      </c>
      <c r="AO47" s="252">
        <f t="shared" si="128"/>
        <v>0</v>
      </c>
      <c r="AP47" s="252">
        <f t="shared" si="129"/>
        <v>0</v>
      </c>
      <c r="AQ47" s="252">
        <f t="shared" si="130"/>
        <v>0</v>
      </c>
      <c r="AR47" s="252">
        <f t="shared" si="141"/>
        <v>0</v>
      </c>
      <c r="AS47" s="131"/>
      <c r="AT47" s="131"/>
      <c r="AU47" s="132"/>
      <c r="AV47" s="406" t="s">
        <v>313</v>
      </c>
      <c r="AW47" s="407"/>
      <c r="AX47" s="458">
        <v>5485.018207816678</v>
      </c>
      <c r="AY47" s="194"/>
      <c r="AZ47" s="39"/>
      <c r="BA47" s="131"/>
      <c r="BB47" s="131"/>
      <c r="BC47" s="131"/>
      <c r="BD47" s="131"/>
      <c r="BE47" s="133"/>
      <c r="BF47" s="341"/>
      <c r="BG47" s="342"/>
      <c r="BH47" s="343"/>
      <c r="BI47" s="344"/>
      <c r="BJ47" s="345"/>
      <c r="BK47" s="346"/>
      <c r="BL47" s="135"/>
      <c r="BM47" s="341"/>
      <c r="BN47" s="342"/>
      <c r="BO47" s="343"/>
      <c r="BP47" s="344"/>
      <c r="BQ47" s="345"/>
      <c r="BR47" s="346"/>
      <c r="BS47" s="136"/>
      <c r="BT47" s="341"/>
      <c r="BU47" s="342"/>
      <c r="BV47" s="343"/>
      <c r="BW47" s="344"/>
      <c r="BX47" s="345"/>
      <c r="BY47" s="346"/>
      <c r="BZ47" s="368" t="s">
        <v>314</v>
      </c>
      <c r="CA47" s="368" t="s">
        <v>262</v>
      </c>
      <c r="CB47" s="382">
        <f>CB43*CB44^(AZ9-AZ5)</f>
        <v>19.01274428869284</v>
      </c>
      <c r="CC47" s="266">
        <f t="shared" si="145"/>
        <v>2039</v>
      </c>
      <c r="CD47" s="267">
        <f t="shared" si="161"/>
        <v>0</v>
      </c>
      <c r="CE47" s="267">
        <f t="shared" si="146"/>
        <v>0</v>
      </c>
      <c r="CF47" s="267">
        <f t="shared" si="147"/>
        <v>0</v>
      </c>
      <c r="CG47" s="267">
        <f t="shared" si="160"/>
        <v>0</v>
      </c>
      <c r="CH47" s="267">
        <f t="shared" si="148"/>
        <v>0</v>
      </c>
      <c r="CI47" s="267">
        <f t="shared" si="149"/>
        <v>0</v>
      </c>
      <c r="CJ47" s="269">
        <f t="shared" si="150"/>
        <v>25.725075066150264</v>
      </c>
      <c r="CK47" s="269">
        <f t="shared" si="151"/>
        <v>3.281768293602007</v>
      </c>
      <c r="CL47" s="270">
        <f t="shared" si="152"/>
        <v>2039</v>
      </c>
      <c r="CM47" s="271">
        <f t="shared" si="131"/>
        <v>0</v>
      </c>
      <c r="CN47" s="271">
        <f t="shared" si="153"/>
        <v>0</v>
      </c>
      <c r="CO47" s="271">
        <f t="shared" si="154"/>
        <v>0</v>
      </c>
      <c r="CP47" s="271">
        <f t="shared" si="132"/>
        <v>0</v>
      </c>
      <c r="CQ47" s="271">
        <f t="shared" si="133"/>
        <v>0</v>
      </c>
      <c r="CR47" s="271">
        <f t="shared" si="134"/>
        <v>0</v>
      </c>
      <c r="CS47" s="271">
        <f t="shared" si="155"/>
        <v>0</v>
      </c>
      <c r="CT47" s="271">
        <f t="shared" si="156"/>
        <v>0</v>
      </c>
      <c r="CU47" s="272">
        <f t="shared" si="157"/>
        <v>2039</v>
      </c>
      <c r="CV47" s="273">
        <f t="shared" si="135"/>
        <v>0</v>
      </c>
      <c r="CW47" s="273">
        <f t="shared" si="136"/>
        <v>0</v>
      </c>
      <c r="CX47" s="273">
        <f t="shared" si="137"/>
        <v>0</v>
      </c>
      <c r="CY47" s="273">
        <f>IF(CT46=0,0,IF(CT47&gt;0,0,IF(AND(SUM(CT$7:CT46)&gt;0,SUM(CT47:CT$100)=0),CB$42,0)))</f>
        <v>0</v>
      </c>
      <c r="CZ47" s="273">
        <f>IF(CT46=0,0,IF(CT47&gt;0,0,IF(AND(SUM(CT$7:CT46)&gt;0,SUM(CT47:CT$100)=0),CB$41,0)))</f>
        <v>0</v>
      </c>
      <c r="DA47" s="273">
        <f>IF(SUM(CT$7:CT$100)=0,0,IF(SUM(CT47:CT$100)=0,CZ47-CY47,CM47-SUM(CN47:CR47)-CY47+CZ47))</f>
        <v>0</v>
      </c>
      <c r="DB47" s="274">
        <f t="shared" si="158"/>
        <v>2039</v>
      </c>
      <c r="DC47" s="275">
        <f t="shared" si="55"/>
        <v>0</v>
      </c>
      <c r="DD47" s="275">
        <f t="shared" si="56"/>
        <v>0</v>
      </c>
      <c r="DE47" s="275">
        <f t="shared" si="57"/>
        <v>0</v>
      </c>
      <c r="DF47" s="275">
        <f t="shared" si="58"/>
        <v>0</v>
      </c>
      <c r="DG47" s="360">
        <f t="shared" si="59"/>
        <v>0</v>
      </c>
      <c r="DH47" s="233"/>
      <c r="DI47" s="233"/>
      <c r="DJ47" s="233"/>
      <c r="DK47" s="233"/>
      <c r="DL47" s="37"/>
      <c r="DM47" s="37"/>
      <c r="DN47" s="37"/>
    </row>
    <row r="48" spans="1:118" ht="15">
      <c r="A48" s="337"/>
      <c r="B48" s="327"/>
      <c r="C48" s="331"/>
      <c r="D48" s="237"/>
      <c r="E48" s="237"/>
      <c r="F48" s="238">
        <f t="shared" si="106"/>
        <v>0</v>
      </c>
      <c r="G48" s="329"/>
      <c r="H48" s="239">
        <f t="shared" si="107"/>
        <v>0</v>
      </c>
      <c r="I48" s="322"/>
      <c r="J48" s="240">
        <f t="shared" si="108"/>
        <v>0</v>
      </c>
      <c r="K48" s="323"/>
      <c r="L48" s="241">
        <f t="shared" si="109"/>
        <v>0</v>
      </c>
      <c r="M48" s="324"/>
      <c r="N48" s="242">
        <f t="shared" si="110"/>
        <v>0</v>
      </c>
      <c r="O48" s="324"/>
      <c r="P48" s="243">
        <f t="shared" si="111"/>
        <v>0</v>
      </c>
      <c r="Q48" s="324"/>
      <c r="R48" s="244">
        <f t="shared" si="112"/>
        <v>0</v>
      </c>
      <c r="S48" s="325"/>
      <c r="T48" s="245">
        <f t="shared" si="113"/>
        <v>0</v>
      </c>
      <c r="U48" s="326"/>
      <c r="V48" s="246">
        <f t="shared" si="114"/>
        <v>0</v>
      </c>
      <c r="W48" s="326"/>
      <c r="X48" s="247">
        <f t="shared" si="115"/>
        <v>0</v>
      </c>
      <c r="Y48" s="248">
        <f t="shared" si="116"/>
        <v>0</v>
      </c>
      <c r="Z48" s="249">
        <f t="shared" si="117"/>
        <v>0</v>
      </c>
      <c r="AA48" s="249">
        <f t="shared" si="118"/>
        <v>0</v>
      </c>
      <c r="AB48" s="250">
        <f t="shared" si="119"/>
        <v>0</v>
      </c>
      <c r="AC48" s="250">
        <f t="shared" si="120"/>
        <v>0</v>
      </c>
      <c r="AD48" s="250">
        <f t="shared" si="159"/>
        <v>0</v>
      </c>
      <c r="AE48" s="239">
        <f t="shared" si="121"/>
        <v>0</v>
      </c>
      <c r="AF48" s="251">
        <f t="shared" si="122"/>
        <v>0</v>
      </c>
      <c r="AG48" s="251">
        <f t="shared" si="123"/>
        <v>0</v>
      </c>
      <c r="AH48" s="251">
        <f t="shared" si="138"/>
        <v>0</v>
      </c>
      <c r="AI48" s="251">
        <f t="shared" si="124"/>
        <v>0</v>
      </c>
      <c r="AJ48" s="251">
        <f t="shared" si="125"/>
        <v>0</v>
      </c>
      <c r="AK48" s="251">
        <f t="shared" si="139"/>
        <v>0</v>
      </c>
      <c r="AL48" s="245">
        <f t="shared" si="126"/>
        <v>0</v>
      </c>
      <c r="AM48" s="252">
        <f t="shared" si="140"/>
        <v>0</v>
      </c>
      <c r="AN48" s="252">
        <f t="shared" si="127"/>
        <v>0</v>
      </c>
      <c r="AO48" s="252">
        <f t="shared" si="128"/>
        <v>0</v>
      </c>
      <c r="AP48" s="252">
        <f t="shared" si="129"/>
        <v>0</v>
      </c>
      <c r="AQ48" s="252">
        <f t="shared" si="130"/>
        <v>0</v>
      </c>
      <c r="AR48" s="252">
        <f t="shared" si="141"/>
        <v>0</v>
      </c>
      <c r="AS48" s="131"/>
      <c r="AT48" s="131"/>
      <c r="AU48" s="132"/>
      <c r="AV48" s="409"/>
      <c r="AW48" s="407"/>
      <c r="AX48" s="340"/>
      <c r="AY48" s="347"/>
      <c r="AZ48" s="347"/>
      <c r="BA48" s="131"/>
      <c r="BB48" s="131"/>
      <c r="BC48" s="131"/>
      <c r="BD48" s="131"/>
      <c r="BE48" s="133"/>
      <c r="BF48" s="341"/>
      <c r="BG48" s="342"/>
      <c r="BH48" s="343"/>
      <c r="BI48" s="344"/>
      <c r="BJ48" s="345"/>
      <c r="BK48" s="348"/>
      <c r="BL48" s="135"/>
      <c r="BM48" s="341"/>
      <c r="BN48" s="342"/>
      <c r="BO48" s="343"/>
      <c r="BP48" s="344"/>
      <c r="BQ48" s="345"/>
      <c r="BR48" s="348"/>
      <c r="BS48" s="136"/>
      <c r="BT48" s="341"/>
      <c r="BU48" s="342"/>
      <c r="BV48" s="343"/>
      <c r="BW48" s="344"/>
      <c r="BX48" s="345"/>
      <c r="BY48" s="348"/>
      <c r="BZ48" s="368" t="s">
        <v>315</v>
      </c>
      <c r="CA48" s="368" t="s">
        <v>291</v>
      </c>
      <c r="CB48" s="382">
        <f>CB45*CB46^(AZ35-AZ31)</f>
        <v>2.553385078195826</v>
      </c>
      <c r="CC48" s="266">
        <f t="shared" si="145"/>
        <v>2040</v>
      </c>
      <c r="CD48" s="267">
        <f t="shared" si="161"/>
        <v>0</v>
      </c>
      <c r="CE48" s="267">
        <f t="shared" si="146"/>
        <v>0</v>
      </c>
      <c r="CF48" s="267">
        <f t="shared" si="147"/>
        <v>0</v>
      </c>
      <c r="CG48" s="267">
        <f t="shared" si="160"/>
        <v>0</v>
      </c>
      <c r="CH48" s="267">
        <f t="shared" si="148"/>
        <v>0</v>
      </c>
      <c r="CI48" s="267">
        <f t="shared" si="149"/>
        <v>0</v>
      </c>
      <c r="CJ48" s="269">
        <f t="shared" si="150"/>
        <v>25.905150591613314</v>
      </c>
      <c r="CK48" s="269">
        <f t="shared" si="151"/>
        <v>3.301458903363619</v>
      </c>
      <c r="CL48" s="270">
        <f t="shared" si="152"/>
        <v>2040</v>
      </c>
      <c r="CM48" s="271">
        <f t="shared" si="131"/>
        <v>0</v>
      </c>
      <c r="CN48" s="271">
        <f t="shared" si="153"/>
        <v>0</v>
      </c>
      <c r="CO48" s="271">
        <f t="shared" si="154"/>
        <v>0</v>
      </c>
      <c r="CP48" s="271">
        <f t="shared" si="132"/>
        <v>0</v>
      </c>
      <c r="CQ48" s="271">
        <f t="shared" si="133"/>
        <v>0</v>
      </c>
      <c r="CR48" s="271">
        <f t="shared" si="134"/>
        <v>0</v>
      </c>
      <c r="CS48" s="271">
        <f t="shared" si="155"/>
        <v>0</v>
      </c>
      <c r="CT48" s="271">
        <f t="shared" si="156"/>
        <v>0</v>
      </c>
      <c r="CU48" s="272">
        <f t="shared" si="157"/>
        <v>2040</v>
      </c>
      <c r="CV48" s="273">
        <f t="shared" si="135"/>
        <v>0</v>
      </c>
      <c r="CW48" s="273">
        <f t="shared" si="136"/>
        <v>0</v>
      </c>
      <c r="CX48" s="273">
        <f t="shared" si="137"/>
        <v>0</v>
      </c>
      <c r="CY48" s="273">
        <f>IF(CT47=0,0,IF(CT48&gt;0,0,IF(AND(SUM(CT$7:CT47)&gt;0,SUM(CT48:CT$100)=0),CB$42,0)))</f>
        <v>0</v>
      </c>
      <c r="CZ48" s="273">
        <f>IF(CT47=0,0,IF(CT48&gt;0,0,IF(AND(SUM(CT$7:CT47)&gt;0,SUM(CT48:CT$100)=0),CB$41,0)))</f>
        <v>0</v>
      </c>
      <c r="DA48" s="273">
        <f>IF(SUM(CT$7:CT$100)=0,0,IF(SUM(CT48:CT$100)=0,CZ48-CY48,CM48-SUM(CN48:CR48)-CY48+CZ48))</f>
        <v>0</v>
      </c>
      <c r="DB48" s="274">
        <f t="shared" si="158"/>
        <v>2040</v>
      </c>
      <c r="DC48" s="275">
        <f t="shared" si="55"/>
        <v>0</v>
      </c>
      <c r="DD48" s="275">
        <f t="shared" si="56"/>
        <v>0</v>
      </c>
      <c r="DE48" s="275">
        <f t="shared" si="57"/>
        <v>0</v>
      </c>
      <c r="DF48" s="275">
        <f t="shared" si="58"/>
        <v>0</v>
      </c>
      <c r="DG48" s="360">
        <f t="shared" si="59"/>
        <v>0</v>
      </c>
      <c r="DH48" s="233"/>
      <c r="DI48" s="233"/>
      <c r="DJ48" s="233"/>
      <c r="DK48" s="233"/>
      <c r="DL48" s="37"/>
      <c r="DM48" s="37"/>
      <c r="DN48" s="37"/>
    </row>
    <row r="49" spans="1:118" ht="15">
      <c r="A49" s="337"/>
      <c r="B49" s="327"/>
      <c r="C49" s="331"/>
      <c r="D49" s="237"/>
      <c r="E49" s="237"/>
      <c r="F49" s="238">
        <f t="shared" si="106"/>
        <v>0</v>
      </c>
      <c r="G49" s="329"/>
      <c r="H49" s="239">
        <f t="shared" si="107"/>
        <v>0</v>
      </c>
      <c r="I49" s="322"/>
      <c r="J49" s="240">
        <f t="shared" si="108"/>
        <v>0</v>
      </c>
      <c r="K49" s="323"/>
      <c r="L49" s="241">
        <f t="shared" si="109"/>
        <v>0</v>
      </c>
      <c r="M49" s="324"/>
      <c r="N49" s="242">
        <f t="shared" si="110"/>
        <v>0</v>
      </c>
      <c r="O49" s="324"/>
      <c r="P49" s="243">
        <f t="shared" si="111"/>
        <v>0</v>
      </c>
      <c r="Q49" s="324"/>
      <c r="R49" s="244">
        <f t="shared" si="112"/>
        <v>0</v>
      </c>
      <c r="S49" s="325"/>
      <c r="T49" s="245">
        <f t="shared" si="113"/>
        <v>0</v>
      </c>
      <c r="U49" s="326"/>
      <c r="V49" s="246">
        <f t="shared" si="114"/>
        <v>0</v>
      </c>
      <c r="W49" s="326"/>
      <c r="X49" s="247">
        <f t="shared" si="115"/>
        <v>0</v>
      </c>
      <c r="Y49" s="248">
        <f t="shared" si="116"/>
        <v>0</v>
      </c>
      <c r="Z49" s="249">
        <f t="shared" si="117"/>
        <v>0</v>
      </c>
      <c r="AA49" s="249">
        <f t="shared" si="118"/>
        <v>0</v>
      </c>
      <c r="AB49" s="250">
        <f t="shared" si="119"/>
        <v>0</v>
      </c>
      <c r="AC49" s="250">
        <f t="shared" si="120"/>
        <v>0</v>
      </c>
      <c r="AD49" s="250">
        <f t="shared" si="159"/>
        <v>0</v>
      </c>
      <c r="AE49" s="239">
        <f t="shared" si="121"/>
        <v>0</v>
      </c>
      <c r="AF49" s="251">
        <f t="shared" si="122"/>
        <v>0</v>
      </c>
      <c r="AG49" s="251">
        <f t="shared" si="123"/>
        <v>0</v>
      </c>
      <c r="AH49" s="251">
        <f t="shared" si="138"/>
        <v>0</v>
      </c>
      <c r="AI49" s="251">
        <f t="shared" si="124"/>
        <v>0</v>
      </c>
      <c r="AJ49" s="251">
        <f t="shared" si="125"/>
        <v>0</v>
      </c>
      <c r="AK49" s="251">
        <f t="shared" si="139"/>
        <v>0</v>
      </c>
      <c r="AL49" s="245">
        <f t="shared" si="126"/>
        <v>0</v>
      </c>
      <c r="AM49" s="252">
        <f t="shared" si="140"/>
        <v>0</v>
      </c>
      <c r="AN49" s="252">
        <f t="shared" si="127"/>
        <v>0</v>
      </c>
      <c r="AO49" s="252">
        <f t="shared" si="128"/>
        <v>0</v>
      </c>
      <c r="AP49" s="252">
        <f t="shared" si="129"/>
        <v>0</v>
      </c>
      <c r="AQ49" s="252">
        <f t="shared" si="130"/>
        <v>0</v>
      </c>
      <c r="AR49" s="252">
        <f t="shared" si="141"/>
        <v>0</v>
      </c>
      <c r="AS49" s="131"/>
      <c r="AT49" s="131"/>
      <c r="AU49" s="132"/>
      <c r="AV49" s="406" t="s">
        <v>316</v>
      </c>
      <c r="AW49" s="407"/>
      <c r="AX49" s="458">
        <v>6453.398621115781</v>
      </c>
      <c r="AY49" s="347"/>
      <c r="AZ49" s="349"/>
      <c r="BA49" s="131"/>
      <c r="BB49" s="131"/>
      <c r="BC49" s="131"/>
      <c r="BD49" s="131"/>
      <c r="BE49" s="133"/>
      <c r="BF49" s="341"/>
      <c r="BG49" s="342"/>
      <c r="BH49" s="343"/>
      <c r="BI49" s="344"/>
      <c r="BJ49" s="345"/>
      <c r="BK49" s="346"/>
      <c r="BL49" s="135"/>
      <c r="BM49" s="341"/>
      <c r="BN49" s="342"/>
      <c r="BO49" s="343"/>
      <c r="BP49" s="344"/>
      <c r="BQ49" s="345"/>
      <c r="BR49" s="346"/>
      <c r="BS49" s="136"/>
      <c r="BT49" s="341"/>
      <c r="BU49" s="342"/>
      <c r="BV49" s="343"/>
      <c r="BW49" s="344"/>
      <c r="BX49" s="345"/>
      <c r="BY49" s="346"/>
      <c r="BZ49" s="368" t="s">
        <v>317</v>
      </c>
      <c r="CA49" s="368" t="s">
        <v>309</v>
      </c>
      <c r="CB49" s="383">
        <f>1+AZ10</f>
        <v>1.018</v>
      </c>
      <c r="CC49" s="266">
        <f t="shared" si="145"/>
        <v>2041</v>
      </c>
      <c r="CD49" s="267">
        <f t="shared" si="161"/>
        <v>0</v>
      </c>
      <c r="CE49" s="267">
        <f t="shared" si="146"/>
        <v>0</v>
      </c>
      <c r="CF49" s="267">
        <f t="shared" si="147"/>
        <v>0</v>
      </c>
      <c r="CG49" s="267">
        <f t="shared" si="160"/>
        <v>0</v>
      </c>
      <c r="CH49" s="267">
        <f t="shared" si="148"/>
        <v>0</v>
      </c>
      <c r="CI49" s="267">
        <f t="shared" si="149"/>
        <v>0</v>
      </c>
      <c r="CJ49" s="269">
        <f t="shared" si="150"/>
        <v>26.086486645754604</v>
      </c>
      <c r="CK49" s="269">
        <f t="shared" si="151"/>
        <v>3.3212676567838013</v>
      </c>
      <c r="CL49" s="270">
        <f t="shared" si="152"/>
        <v>2041</v>
      </c>
      <c r="CM49" s="271">
        <f t="shared" si="131"/>
        <v>0</v>
      </c>
      <c r="CN49" s="271">
        <f t="shared" si="153"/>
        <v>0</v>
      </c>
      <c r="CO49" s="271">
        <f t="shared" si="154"/>
        <v>0</v>
      </c>
      <c r="CP49" s="271">
        <f t="shared" si="132"/>
        <v>0</v>
      </c>
      <c r="CQ49" s="271">
        <f t="shared" si="133"/>
        <v>0</v>
      </c>
      <c r="CR49" s="271">
        <f t="shared" si="134"/>
        <v>0</v>
      </c>
      <c r="CS49" s="271">
        <f t="shared" si="155"/>
        <v>0</v>
      </c>
      <c r="CT49" s="271">
        <f t="shared" si="156"/>
        <v>0</v>
      </c>
      <c r="CU49" s="272">
        <f t="shared" si="157"/>
        <v>2041</v>
      </c>
      <c r="CV49" s="273">
        <f t="shared" si="135"/>
        <v>0</v>
      </c>
      <c r="CW49" s="273">
        <f t="shared" si="136"/>
        <v>0</v>
      </c>
      <c r="CX49" s="273">
        <f t="shared" si="137"/>
        <v>0</v>
      </c>
      <c r="CY49" s="273">
        <f>IF(CT48=0,0,IF(CT49&gt;0,0,IF(AND(SUM(CT$7:CT48)&gt;0,SUM(CT49:CT$100)=0),CB$42,0)))</f>
        <v>0</v>
      </c>
      <c r="CZ49" s="273">
        <f>IF(CT48=0,0,IF(CT49&gt;0,0,IF(AND(SUM(CT$7:CT48)&gt;0,SUM(CT49:CT$100)=0),CB$41,0)))</f>
        <v>0</v>
      </c>
      <c r="DA49" s="273">
        <f>IF(SUM(CT$7:CT$100)=0,0,IF(SUM(CT49:CT$100)=0,CZ49-CY49,CM49-SUM(CN49:CR49)-CY49+CZ49))</f>
        <v>0</v>
      </c>
      <c r="DB49" s="274">
        <f t="shared" si="158"/>
        <v>2041</v>
      </c>
      <c r="DC49" s="275">
        <f t="shared" si="55"/>
        <v>0</v>
      </c>
      <c r="DD49" s="275">
        <f t="shared" si="56"/>
        <v>0</v>
      </c>
      <c r="DE49" s="275">
        <f t="shared" si="57"/>
        <v>0</v>
      </c>
      <c r="DF49" s="275">
        <f t="shared" si="58"/>
        <v>0</v>
      </c>
      <c r="DG49" s="360">
        <f t="shared" si="59"/>
        <v>0</v>
      </c>
      <c r="DH49" s="233"/>
      <c r="DI49" s="233"/>
      <c r="DJ49" s="233"/>
      <c r="DK49" s="233"/>
      <c r="DL49" s="37"/>
      <c r="DM49" s="37"/>
      <c r="DN49" s="37"/>
    </row>
    <row r="50" spans="1:118" ht="15">
      <c r="A50" s="337"/>
      <c r="B50" s="327"/>
      <c r="C50" s="331"/>
      <c r="D50" s="237"/>
      <c r="E50" s="237"/>
      <c r="F50" s="238">
        <f t="shared" si="106"/>
        <v>0</v>
      </c>
      <c r="G50" s="329"/>
      <c r="H50" s="239">
        <f t="shared" si="107"/>
        <v>0</v>
      </c>
      <c r="I50" s="322"/>
      <c r="J50" s="240">
        <f t="shared" si="108"/>
        <v>0</v>
      </c>
      <c r="K50" s="323"/>
      <c r="L50" s="241">
        <f t="shared" si="109"/>
        <v>0</v>
      </c>
      <c r="M50" s="324"/>
      <c r="N50" s="242">
        <f t="shared" si="110"/>
        <v>0</v>
      </c>
      <c r="O50" s="324"/>
      <c r="P50" s="243">
        <f t="shared" si="111"/>
        <v>0</v>
      </c>
      <c r="Q50" s="324"/>
      <c r="R50" s="244">
        <f t="shared" si="112"/>
        <v>0</v>
      </c>
      <c r="S50" s="325"/>
      <c r="T50" s="245">
        <f t="shared" si="113"/>
        <v>0</v>
      </c>
      <c r="U50" s="326"/>
      <c r="V50" s="246">
        <f t="shared" si="114"/>
        <v>0</v>
      </c>
      <c r="W50" s="326"/>
      <c r="X50" s="247">
        <f t="shared" si="115"/>
        <v>0</v>
      </c>
      <c r="Y50" s="248">
        <f t="shared" si="116"/>
        <v>0</v>
      </c>
      <c r="Z50" s="249">
        <f t="shared" si="117"/>
        <v>0</v>
      </c>
      <c r="AA50" s="249">
        <f t="shared" si="118"/>
        <v>0</v>
      </c>
      <c r="AB50" s="250">
        <f t="shared" si="119"/>
        <v>0</v>
      </c>
      <c r="AC50" s="250">
        <f t="shared" si="120"/>
        <v>0</v>
      </c>
      <c r="AD50" s="250">
        <f t="shared" si="159"/>
        <v>0</v>
      </c>
      <c r="AE50" s="239">
        <f t="shared" si="121"/>
        <v>0</v>
      </c>
      <c r="AF50" s="251">
        <f t="shared" si="122"/>
        <v>0</v>
      </c>
      <c r="AG50" s="251">
        <f t="shared" si="123"/>
        <v>0</v>
      </c>
      <c r="AH50" s="251">
        <f t="shared" si="138"/>
        <v>0</v>
      </c>
      <c r="AI50" s="251">
        <f t="shared" si="124"/>
        <v>0</v>
      </c>
      <c r="AJ50" s="251">
        <f t="shared" si="125"/>
        <v>0</v>
      </c>
      <c r="AK50" s="251">
        <f t="shared" si="139"/>
        <v>0</v>
      </c>
      <c r="AL50" s="245">
        <f t="shared" si="126"/>
        <v>0</v>
      </c>
      <c r="AM50" s="252">
        <f t="shared" si="140"/>
        <v>0</v>
      </c>
      <c r="AN50" s="252">
        <f t="shared" si="127"/>
        <v>0</v>
      </c>
      <c r="AO50" s="252">
        <f t="shared" si="128"/>
        <v>0</v>
      </c>
      <c r="AP50" s="252">
        <f t="shared" si="129"/>
        <v>0</v>
      </c>
      <c r="AQ50" s="252">
        <f t="shared" si="130"/>
        <v>0</v>
      </c>
      <c r="AR50" s="252">
        <f t="shared" si="141"/>
        <v>0</v>
      </c>
      <c r="AS50" s="131"/>
      <c r="AT50" s="131"/>
      <c r="AU50" s="132"/>
      <c r="AV50" s="409"/>
      <c r="AW50" s="407"/>
      <c r="AX50" s="340"/>
      <c r="AY50" s="347"/>
      <c r="AZ50" s="349"/>
      <c r="BA50" s="131"/>
      <c r="BB50" s="131"/>
      <c r="BC50" s="131"/>
      <c r="BD50" s="131"/>
      <c r="BE50" s="133"/>
      <c r="BF50" s="341"/>
      <c r="BG50" s="342"/>
      <c r="BH50" s="343"/>
      <c r="BI50" s="344"/>
      <c r="BJ50" s="345"/>
      <c r="BK50" s="346"/>
      <c r="BL50" s="135"/>
      <c r="BM50" s="341"/>
      <c r="BN50" s="342"/>
      <c r="BO50" s="343"/>
      <c r="BP50" s="344"/>
      <c r="BQ50" s="345"/>
      <c r="BR50" s="346"/>
      <c r="BS50" s="136"/>
      <c r="BT50" s="341"/>
      <c r="BU50" s="342"/>
      <c r="BV50" s="343"/>
      <c r="BW50" s="344"/>
      <c r="BX50" s="345"/>
      <c r="BY50" s="346"/>
      <c r="BZ50" s="368" t="s">
        <v>318</v>
      </c>
      <c r="CA50" s="368" t="s">
        <v>309</v>
      </c>
      <c r="CB50" s="383">
        <f>1+AZ36</f>
        <v>1.012</v>
      </c>
      <c r="CC50" s="266">
        <f t="shared" si="145"/>
        <v>2042</v>
      </c>
      <c r="CD50" s="267">
        <f t="shared" si="161"/>
        <v>0</v>
      </c>
      <c r="CE50" s="267">
        <f t="shared" si="146"/>
        <v>0</v>
      </c>
      <c r="CF50" s="267">
        <f t="shared" si="147"/>
        <v>0</v>
      </c>
      <c r="CG50" s="267">
        <f t="shared" si="160"/>
        <v>0</v>
      </c>
      <c r="CH50" s="267">
        <f t="shared" si="148"/>
        <v>0</v>
      </c>
      <c r="CI50" s="267">
        <f t="shared" si="149"/>
        <v>0</v>
      </c>
      <c r="CJ50" s="269">
        <f t="shared" si="150"/>
        <v>26.26909205227488</v>
      </c>
      <c r="CK50" s="269">
        <f t="shared" si="151"/>
        <v>3.341195262724504</v>
      </c>
      <c r="CL50" s="270">
        <f t="shared" si="152"/>
        <v>2042</v>
      </c>
      <c r="CM50" s="271">
        <f t="shared" si="131"/>
        <v>0</v>
      </c>
      <c r="CN50" s="271">
        <f t="shared" si="153"/>
        <v>0</v>
      </c>
      <c r="CO50" s="271">
        <f t="shared" si="154"/>
        <v>0</v>
      </c>
      <c r="CP50" s="271">
        <f t="shared" si="132"/>
        <v>0</v>
      </c>
      <c r="CQ50" s="271">
        <f t="shared" si="133"/>
        <v>0</v>
      </c>
      <c r="CR50" s="271">
        <f t="shared" si="134"/>
        <v>0</v>
      </c>
      <c r="CS50" s="271">
        <f t="shared" si="155"/>
        <v>0</v>
      </c>
      <c r="CT50" s="271">
        <f t="shared" si="156"/>
        <v>0</v>
      </c>
      <c r="CU50" s="272">
        <f t="shared" si="157"/>
        <v>2042</v>
      </c>
      <c r="CV50" s="273">
        <f t="shared" si="135"/>
        <v>0</v>
      </c>
      <c r="CW50" s="273">
        <f t="shared" si="136"/>
        <v>0</v>
      </c>
      <c r="CX50" s="273">
        <f t="shared" si="137"/>
        <v>0</v>
      </c>
      <c r="CY50" s="273">
        <f>IF(CT49=0,0,IF(CT50&gt;0,0,IF(AND(SUM(CT$7:CT49)&gt;0,SUM(CT50:CT$100)=0),CB$42,0)))</f>
        <v>0</v>
      </c>
      <c r="CZ50" s="273">
        <f>IF(CT49=0,0,IF(CT50&gt;0,0,IF(AND(SUM(CT$7:CT49)&gt;0,SUM(CT50:CT$100)=0),CB$41,0)))</f>
        <v>0</v>
      </c>
      <c r="DA50" s="273">
        <f>IF(SUM(CT$7:CT$100)=0,0,IF(SUM(CT50:CT$100)=0,CZ50-CY50,CM50-SUM(CN50:CR50)-CY50+CZ50))</f>
        <v>0</v>
      </c>
      <c r="DB50" s="274">
        <f t="shared" si="158"/>
        <v>2042</v>
      </c>
      <c r="DC50" s="275">
        <f t="shared" si="55"/>
        <v>0</v>
      </c>
      <c r="DD50" s="275">
        <f t="shared" si="56"/>
        <v>0</v>
      </c>
      <c r="DE50" s="275">
        <f t="shared" si="57"/>
        <v>0</v>
      </c>
      <c r="DF50" s="275">
        <f t="shared" si="58"/>
        <v>0</v>
      </c>
      <c r="DG50" s="360">
        <f t="shared" si="59"/>
        <v>0</v>
      </c>
      <c r="DH50" s="233"/>
      <c r="DI50" s="233"/>
      <c r="DJ50" s="233"/>
      <c r="DK50" s="233"/>
      <c r="DL50" s="37"/>
      <c r="DM50" s="37"/>
      <c r="DN50" s="37"/>
    </row>
    <row r="51" spans="1:118" ht="15">
      <c r="A51" s="337"/>
      <c r="B51" s="327"/>
      <c r="C51" s="331"/>
      <c r="D51" s="237"/>
      <c r="E51" s="237"/>
      <c r="F51" s="238">
        <f t="shared" si="106"/>
        <v>0</v>
      </c>
      <c r="G51" s="329"/>
      <c r="H51" s="239">
        <f t="shared" si="107"/>
        <v>0</v>
      </c>
      <c r="I51" s="322"/>
      <c r="J51" s="240">
        <f t="shared" si="108"/>
        <v>0</v>
      </c>
      <c r="K51" s="323"/>
      <c r="L51" s="241">
        <f t="shared" si="109"/>
        <v>0</v>
      </c>
      <c r="M51" s="324"/>
      <c r="N51" s="242">
        <f t="shared" si="110"/>
        <v>0</v>
      </c>
      <c r="O51" s="324"/>
      <c r="P51" s="243">
        <f t="shared" si="111"/>
        <v>0</v>
      </c>
      <c r="Q51" s="324"/>
      <c r="R51" s="244">
        <f t="shared" si="112"/>
        <v>0</v>
      </c>
      <c r="S51" s="325"/>
      <c r="T51" s="245">
        <f t="shared" si="113"/>
        <v>0</v>
      </c>
      <c r="U51" s="326"/>
      <c r="V51" s="246">
        <f t="shared" si="114"/>
        <v>0</v>
      </c>
      <c r="W51" s="326"/>
      <c r="X51" s="247">
        <f t="shared" si="115"/>
        <v>0</v>
      </c>
      <c r="Y51" s="248">
        <f t="shared" si="116"/>
        <v>0</v>
      </c>
      <c r="Z51" s="249">
        <f t="shared" si="117"/>
        <v>0</v>
      </c>
      <c r="AA51" s="249">
        <f t="shared" si="118"/>
        <v>0</v>
      </c>
      <c r="AB51" s="250">
        <f t="shared" si="119"/>
        <v>0</v>
      </c>
      <c r="AC51" s="250">
        <f t="shared" si="120"/>
        <v>0</v>
      </c>
      <c r="AD51" s="250">
        <f t="shared" si="159"/>
        <v>0</v>
      </c>
      <c r="AE51" s="239">
        <f t="shared" si="121"/>
        <v>0</v>
      </c>
      <c r="AF51" s="251">
        <f t="shared" si="122"/>
        <v>0</v>
      </c>
      <c r="AG51" s="251">
        <f t="shared" si="123"/>
        <v>0</v>
      </c>
      <c r="AH51" s="251">
        <f t="shared" si="138"/>
        <v>0</v>
      </c>
      <c r="AI51" s="251">
        <f t="shared" si="124"/>
        <v>0</v>
      </c>
      <c r="AJ51" s="251">
        <f t="shared" si="125"/>
        <v>0</v>
      </c>
      <c r="AK51" s="251">
        <f t="shared" si="139"/>
        <v>0</v>
      </c>
      <c r="AL51" s="245">
        <f t="shared" si="126"/>
        <v>0</v>
      </c>
      <c r="AM51" s="252">
        <f t="shared" si="140"/>
        <v>0</v>
      </c>
      <c r="AN51" s="252">
        <f t="shared" si="127"/>
        <v>0</v>
      </c>
      <c r="AO51" s="252">
        <f t="shared" si="128"/>
        <v>0</v>
      </c>
      <c r="AP51" s="252">
        <f t="shared" si="129"/>
        <v>0</v>
      </c>
      <c r="AQ51" s="252">
        <f t="shared" si="130"/>
        <v>0</v>
      </c>
      <c r="AR51" s="252">
        <f t="shared" si="141"/>
        <v>0</v>
      </c>
      <c r="AS51" s="131"/>
      <c r="AT51" s="131"/>
      <c r="AU51" s="132"/>
      <c r="AV51" s="406" t="s">
        <v>319</v>
      </c>
      <c r="AW51" s="407"/>
      <c r="AX51" s="458">
        <v>1147.5431493334884</v>
      </c>
      <c r="AY51" s="194"/>
      <c r="AZ51" s="210"/>
      <c r="BA51" s="131"/>
      <c r="BB51" s="131"/>
      <c r="BC51" s="131"/>
      <c r="BD51" s="131"/>
      <c r="BE51" s="133"/>
      <c r="BF51" s="341"/>
      <c r="BG51" s="342"/>
      <c r="BH51" s="343"/>
      <c r="BI51" s="344"/>
      <c r="BJ51" s="345"/>
      <c r="BK51" s="346"/>
      <c r="BL51" s="135"/>
      <c r="BM51" s="341"/>
      <c r="BN51" s="342"/>
      <c r="BO51" s="343"/>
      <c r="BP51" s="344"/>
      <c r="BQ51" s="345"/>
      <c r="BR51" s="346"/>
      <c r="BS51" s="136"/>
      <c r="BT51" s="341"/>
      <c r="BU51" s="342"/>
      <c r="BV51" s="343"/>
      <c r="BW51" s="344"/>
      <c r="BX51" s="345"/>
      <c r="BY51" s="346"/>
      <c r="BZ51" s="368" t="s">
        <v>320</v>
      </c>
      <c r="CA51" s="368" t="s">
        <v>262</v>
      </c>
      <c r="CB51" s="382">
        <f>CB47*CB49^(AZ12-AZ9)</f>
        <v>21.16077041003812</v>
      </c>
      <c r="CC51" s="266">
        <f t="shared" si="145"/>
        <v>2043</v>
      </c>
      <c r="CD51" s="267">
        <f t="shared" si="161"/>
        <v>0</v>
      </c>
      <c r="CE51" s="267">
        <f t="shared" si="146"/>
        <v>0</v>
      </c>
      <c r="CF51" s="267">
        <f t="shared" si="147"/>
        <v>0</v>
      </c>
      <c r="CG51" s="267">
        <f t="shared" si="160"/>
        <v>0</v>
      </c>
      <c r="CH51" s="267">
        <f t="shared" si="148"/>
        <v>0</v>
      </c>
      <c r="CI51" s="267">
        <f t="shared" si="149"/>
        <v>0</v>
      </c>
      <c r="CJ51" s="269">
        <f t="shared" si="150"/>
        <v>26.452975696640806</v>
      </c>
      <c r="CK51" s="269">
        <f t="shared" si="151"/>
        <v>3.361242434300851</v>
      </c>
      <c r="CL51" s="270">
        <f t="shared" si="152"/>
        <v>2043</v>
      </c>
      <c r="CM51" s="271">
        <f t="shared" si="131"/>
        <v>0</v>
      </c>
      <c r="CN51" s="271">
        <f t="shared" si="153"/>
        <v>0</v>
      </c>
      <c r="CO51" s="271">
        <f t="shared" si="154"/>
        <v>0</v>
      </c>
      <c r="CP51" s="271">
        <f t="shared" si="132"/>
        <v>0</v>
      </c>
      <c r="CQ51" s="271">
        <f t="shared" si="133"/>
        <v>0</v>
      </c>
      <c r="CR51" s="271">
        <f t="shared" si="134"/>
        <v>0</v>
      </c>
      <c r="CS51" s="271">
        <f t="shared" si="155"/>
        <v>0</v>
      </c>
      <c r="CT51" s="271">
        <f t="shared" si="156"/>
        <v>0</v>
      </c>
      <c r="CU51" s="272">
        <f t="shared" si="157"/>
        <v>2043</v>
      </c>
      <c r="CV51" s="273">
        <f t="shared" si="135"/>
        <v>0</v>
      </c>
      <c r="CW51" s="273">
        <f t="shared" si="136"/>
        <v>0</v>
      </c>
      <c r="CX51" s="273">
        <f t="shared" si="137"/>
        <v>0</v>
      </c>
      <c r="CY51" s="273">
        <f>IF(CT50=0,0,IF(CT51&gt;0,0,IF(AND(SUM(CT$7:CT50)&gt;0,SUM(CT51:CT$100)=0),CB$42,0)))</f>
        <v>0</v>
      </c>
      <c r="CZ51" s="273">
        <f>IF(CT50=0,0,IF(CT51&gt;0,0,IF(AND(SUM(CT$7:CT50)&gt;0,SUM(CT51:CT$100)=0),CB$41,0)))</f>
        <v>0</v>
      </c>
      <c r="DA51" s="273">
        <f>IF(SUM(CT$7:CT$100)=0,0,IF(SUM(CT51:CT$100)=0,CZ51-CY51,CM51-SUM(CN51:CR51)-CY51+CZ51))</f>
        <v>0</v>
      </c>
      <c r="DB51" s="274">
        <f t="shared" si="158"/>
        <v>2043</v>
      </c>
      <c r="DC51" s="275">
        <f t="shared" si="55"/>
        <v>0</v>
      </c>
      <c r="DD51" s="275">
        <f t="shared" si="56"/>
        <v>0</v>
      </c>
      <c r="DE51" s="275">
        <f t="shared" si="57"/>
        <v>0</v>
      </c>
      <c r="DF51" s="275">
        <f t="shared" si="58"/>
        <v>0</v>
      </c>
      <c r="DG51" s="360">
        <f t="shared" si="59"/>
        <v>0</v>
      </c>
      <c r="DH51" s="233"/>
      <c r="DI51" s="233"/>
      <c r="DJ51" s="233"/>
      <c r="DK51" s="233"/>
      <c r="DL51" s="37"/>
      <c r="DM51" s="37"/>
      <c r="DN51" s="37"/>
    </row>
    <row r="52" spans="1:118" ht="15">
      <c r="A52" s="337"/>
      <c r="B52" s="327"/>
      <c r="C52" s="331"/>
      <c r="D52" s="237"/>
      <c r="E52" s="237"/>
      <c r="F52" s="238">
        <f t="shared" si="106"/>
        <v>0</v>
      </c>
      <c r="G52" s="329"/>
      <c r="H52" s="239">
        <f t="shared" si="107"/>
        <v>0</v>
      </c>
      <c r="I52" s="322"/>
      <c r="J52" s="240">
        <f t="shared" si="108"/>
        <v>0</v>
      </c>
      <c r="K52" s="323"/>
      <c r="L52" s="241">
        <f t="shared" si="109"/>
        <v>0</v>
      </c>
      <c r="M52" s="324"/>
      <c r="N52" s="242">
        <f t="shared" si="110"/>
        <v>0</v>
      </c>
      <c r="O52" s="324"/>
      <c r="P52" s="243">
        <f t="shared" si="111"/>
        <v>0</v>
      </c>
      <c r="Q52" s="324"/>
      <c r="R52" s="244">
        <f t="shared" si="112"/>
        <v>0</v>
      </c>
      <c r="S52" s="325"/>
      <c r="T52" s="245">
        <f t="shared" si="113"/>
        <v>0</v>
      </c>
      <c r="U52" s="326"/>
      <c r="V52" s="246">
        <f t="shared" si="114"/>
        <v>0</v>
      </c>
      <c r="W52" s="326"/>
      <c r="X52" s="247">
        <f t="shared" si="115"/>
        <v>0</v>
      </c>
      <c r="Y52" s="248">
        <f t="shared" si="116"/>
        <v>0</v>
      </c>
      <c r="Z52" s="249">
        <f t="shared" si="117"/>
        <v>0</v>
      </c>
      <c r="AA52" s="249">
        <f t="shared" si="118"/>
        <v>0</v>
      </c>
      <c r="AB52" s="250">
        <f t="shared" si="119"/>
        <v>0</v>
      </c>
      <c r="AC52" s="250">
        <f t="shared" si="120"/>
        <v>0</v>
      </c>
      <c r="AD52" s="250">
        <f t="shared" si="159"/>
        <v>0</v>
      </c>
      <c r="AE52" s="239">
        <f t="shared" si="121"/>
        <v>0</v>
      </c>
      <c r="AF52" s="251">
        <f t="shared" si="122"/>
        <v>0</v>
      </c>
      <c r="AG52" s="251">
        <f t="shared" si="123"/>
        <v>0</v>
      </c>
      <c r="AH52" s="251">
        <f t="shared" si="138"/>
        <v>0</v>
      </c>
      <c r="AI52" s="251">
        <f t="shared" si="124"/>
        <v>0</v>
      </c>
      <c r="AJ52" s="251">
        <f t="shared" si="125"/>
        <v>0</v>
      </c>
      <c r="AK52" s="251">
        <f t="shared" si="139"/>
        <v>0</v>
      </c>
      <c r="AL52" s="245">
        <f t="shared" si="126"/>
        <v>0</v>
      </c>
      <c r="AM52" s="252">
        <f t="shared" si="140"/>
        <v>0</v>
      </c>
      <c r="AN52" s="252">
        <f t="shared" si="127"/>
        <v>0</v>
      </c>
      <c r="AO52" s="252">
        <f t="shared" si="128"/>
        <v>0</v>
      </c>
      <c r="AP52" s="252">
        <f t="shared" si="129"/>
        <v>0</v>
      </c>
      <c r="AQ52" s="252">
        <f t="shared" si="130"/>
        <v>0</v>
      </c>
      <c r="AR52" s="252">
        <f t="shared" si="141"/>
        <v>0</v>
      </c>
      <c r="AS52" s="131"/>
      <c r="AT52" s="131"/>
      <c r="AU52" s="132"/>
      <c r="AV52" s="409"/>
      <c r="AW52" s="407"/>
      <c r="AX52" s="340"/>
      <c r="AY52" s="347"/>
      <c r="AZ52" s="349"/>
      <c r="BA52" s="131"/>
      <c r="BB52" s="131"/>
      <c r="BC52" s="131"/>
      <c r="BD52" s="131"/>
      <c r="BE52" s="133"/>
      <c r="BF52" s="341"/>
      <c r="BG52" s="342"/>
      <c r="BH52" s="343"/>
      <c r="BI52" s="344"/>
      <c r="BJ52" s="345"/>
      <c r="BK52" s="346"/>
      <c r="BL52" s="135"/>
      <c r="BM52" s="341"/>
      <c r="BN52" s="342"/>
      <c r="BO52" s="343"/>
      <c r="BP52" s="344"/>
      <c r="BQ52" s="345"/>
      <c r="BR52" s="346"/>
      <c r="BS52" s="136"/>
      <c r="BT52" s="341"/>
      <c r="BU52" s="342"/>
      <c r="BV52" s="343"/>
      <c r="BW52" s="344"/>
      <c r="BX52" s="345"/>
      <c r="BY52" s="346"/>
      <c r="BZ52" s="368" t="s">
        <v>321</v>
      </c>
      <c r="CA52" s="368" t="s">
        <v>291</v>
      </c>
      <c r="CB52" s="382">
        <f>CB48*CB50^(AZ38-AZ35)</f>
        <v>2.809056122389261</v>
      </c>
      <c r="CC52" s="266">
        <f t="shared" si="145"/>
        <v>2044</v>
      </c>
      <c r="CD52" s="267">
        <f t="shared" si="161"/>
        <v>0</v>
      </c>
      <c r="CE52" s="267">
        <f t="shared" si="146"/>
        <v>0</v>
      </c>
      <c r="CF52" s="267">
        <f t="shared" si="147"/>
        <v>0</v>
      </c>
      <c r="CG52" s="267">
        <f t="shared" si="160"/>
        <v>0</v>
      </c>
      <c r="CH52" s="267">
        <f t="shared" si="148"/>
        <v>0</v>
      </c>
      <c r="CI52" s="267">
        <f t="shared" si="149"/>
        <v>0</v>
      </c>
      <c r="CJ52" s="269">
        <f t="shared" si="150"/>
        <v>26.638146526517286</v>
      </c>
      <c r="CK52" s="269">
        <f t="shared" si="151"/>
        <v>3.3814098889066555</v>
      </c>
      <c r="CL52" s="270">
        <f t="shared" si="152"/>
        <v>2044</v>
      </c>
      <c r="CM52" s="271">
        <f t="shared" si="131"/>
        <v>0</v>
      </c>
      <c r="CN52" s="271">
        <f t="shared" si="153"/>
        <v>0</v>
      </c>
      <c r="CO52" s="271">
        <f t="shared" si="154"/>
        <v>0</v>
      </c>
      <c r="CP52" s="271">
        <f t="shared" si="132"/>
        <v>0</v>
      </c>
      <c r="CQ52" s="271">
        <f t="shared" si="133"/>
        <v>0</v>
      </c>
      <c r="CR52" s="271">
        <f t="shared" si="134"/>
        <v>0</v>
      </c>
      <c r="CS52" s="271">
        <f t="shared" si="155"/>
        <v>0</v>
      </c>
      <c r="CT52" s="271">
        <f t="shared" si="156"/>
        <v>0</v>
      </c>
      <c r="CU52" s="272">
        <f t="shared" si="157"/>
        <v>2044</v>
      </c>
      <c r="CV52" s="273">
        <f t="shared" si="135"/>
        <v>0</v>
      </c>
      <c r="CW52" s="273">
        <f t="shared" si="136"/>
        <v>0</v>
      </c>
      <c r="CX52" s="273">
        <f t="shared" si="137"/>
        <v>0</v>
      </c>
      <c r="CY52" s="273">
        <f>IF(CT51=0,0,IF(CT52&gt;0,0,IF(AND(SUM(CT$7:CT51)&gt;0,SUM(CT52:CT$100)=0),CB$42,0)))</f>
        <v>0</v>
      </c>
      <c r="CZ52" s="273">
        <f>IF(CT51=0,0,IF(CT52&gt;0,0,IF(AND(SUM(CT$7:CT51)&gt;0,SUM(CT52:CT$100)=0),CB$41,0)))</f>
        <v>0</v>
      </c>
      <c r="DA52" s="273">
        <f>IF(SUM(CT$7:CT$100)=0,0,IF(SUM(CT52:CT$100)=0,CZ52-CY52,CM52-SUM(CN52:CR52)-CY52+CZ52))</f>
        <v>0</v>
      </c>
      <c r="DB52" s="274">
        <f t="shared" si="158"/>
        <v>2044</v>
      </c>
      <c r="DC52" s="275">
        <f t="shared" si="55"/>
        <v>0</v>
      </c>
      <c r="DD52" s="275">
        <f t="shared" si="56"/>
        <v>0</v>
      </c>
      <c r="DE52" s="275">
        <f t="shared" si="57"/>
        <v>0</v>
      </c>
      <c r="DF52" s="275">
        <f t="shared" si="58"/>
        <v>0</v>
      </c>
      <c r="DG52" s="360">
        <f t="shared" si="59"/>
        <v>0</v>
      </c>
      <c r="DH52" s="233"/>
      <c r="DI52" s="233"/>
      <c r="DJ52" s="233"/>
      <c r="DK52" s="233"/>
      <c r="DL52" s="37"/>
      <c r="DM52" s="37"/>
      <c r="DN52" s="37"/>
    </row>
    <row r="53" spans="1:118" ht="15">
      <c r="A53" s="337"/>
      <c r="B53" s="327"/>
      <c r="C53" s="331"/>
      <c r="D53" s="237"/>
      <c r="E53" s="237"/>
      <c r="F53" s="238">
        <f t="shared" si="106"/>
        <v>0</v>
      </c>
      <c r="G53" s="329"/>
      <c r="H53" s="239">
        <f t="shared" si="107"/>
        <v>0</v>
      </c>
      <c r="I53" s="322"/>
      <c r="J53" s="240">
        <f t="shared" si="108"/>
        <v>0</v>
      </c>
      <c r="K53" s="323"/>
      <c r="L53" s="241">
        <f t="shared" si="109"/>
        <v>0</v>
      </c>
      <c r="M53" s="324"/>
      <c r="N53" s="242">
        <f t="shared" si="110"/>
        <v>0</v>
      </c>
      <c r="O53" s="324"/>
      <c r="P53" s="243">
        <f t="shared" si="111"/>
        <v>0</v>
      </c>
      <c r="Q53" s="324"/>
      <c r="R53" s="244">
        <f t="shared" si="112"/>
        <v>0</v>
      </c>
      <c r="S53" s="325"/>
      <c r="T53" s="245">
        <f t="shared" si="113"/>
        <v>0</v>
      </c>
      <c r="U53" s="326"/>
      <c r="V53" s="246">
        <f t="shared" si="114"/>
        <v>0</v>
      </c>
      <c r="W53" s="326"/>
      <c r="X53" s="247">
        <f t="shared" si="115"/>
        <v>0</v>
      </c>
      <c r="Y53" s="248">
        <f t="shared" si="116"/>
        <v>0</v>
      </c>
      <c r="Z53" s="249">
        <f t="shared" si="117"/>
        <v>0</v>
      </c>
      <c r="AA53" s="249">
        <f t="shared" si="118"/>
        <v>0</v>
      </c>
      <c r="AB53" s="250">
        <f t="shared" si="119"/>
        <v>0</v>
      </c>
      <c r="AC53" s="250">
        <f t="shared" si="120"/>
        <v>0</v>
      </c>
      <c r="AD53" s="250">
        <f t="shared" si="159"/>
        <v>0</v>
      </c>
      <c r="AE53" s="239">
        <f t="shared" si="121"/>
        <v>0</v>
      </c>
      <c r="AF53" s="251">
        <f t="shared" si="122"/>
        <v>0</v>
      </c>
      <c r="AG53" s="251">
        <f t="shared" si="123"/>
        <v>0</v>
      </c>
      <c r="AH53" s="251">
        <f t="shared" si="138"/>
        <v>0</v>
      </c>
      <c r="AI53" s="251">
        <f t="shared" si="124"/>
        <v>0</v>
      </c>
      <c r="AJ53" s="251">
        <f t="shared" si="125"/>
        <v>0</v>
      </c>
      <c r="AK53" s="251">
        <f t="shared" si="139"/>
        <v>0</v>
      </c>
      <c r="AL53" s="245">
        <f t="shared" si="126"/>
        <v>0</v>
      </c>
      <c r="AM53" s="252">
        <f t="shared" si="140"/>
        <v>0</v>
      </c>
      <c r="AN53" s="252">
        <f t="shared" si="127"/>
        <v>0</v>
      </c>
      <c r="AO53" s="252">
        <f t="shared" si="128"/>
        <v>0</v>
      </c>
      <c r="AP53" s="252">
        <f t="shared" si="129"/>
        <v>0</v>
      </c>
      <c r="AQ53" s="252">
        <f t="shared" si="130"/>
        <v>0</v>
      </c>
      <c r="AR53" s="252">
        <f t="shared" si="141"/>
        <v>0</v>
      </c>
      <c r="AS53" s="131"/>
      <c r="AT53" s="131"/>
      <c r="AU53" s="132"/>
      <c r="AV53" s="406" t="s">
        <v>322</v>
      </c>
      <c r="AW53" s="407"/>
      <c r="AX53" s="459">
        <v>0.7259779931187793</v>
      </c>
      <c r="AY53" s="347"/>
      <c r="AZ53" s="349"/>
      <c r="BA53" s="131"/>
      <c r="BB53" s="131"/>
      <c r="BC53" s="131"/>
      <c r="BD53" s="131"/>
      <c r="BE53" s="133"/>
      <c r="BF53" s="341"/>
      <c r="BG53" s="342"/>
      <c r="BH53" s="343"/>
      <c r="BI53" s="344"/>
      <c r="BJ53" s="345"/>
      <c r="BK53" s="346"/>
      <c r="BL53" s="135"/>
      <c r="BM53" s="341"/>
      <c r="BN53" s="342"/>
      <c r="BO53" s="343"/>
      <c r="BP53" s="344"/>
      <c r="BQ53" s="345"/>
      <c r="BR53" s="346"/>
      <c r="BS53" s="136"/>
      <c r="BT53" s="341"/>
      <c r="BU53" s="342"/>
      <c r="BV53" s="343"/>
      <c r="BW53" s="344"/>
      <c r="BX53" s="345"/>
      <c r="BY53" s="346"/>
      <c r="BZ53" s="368" t="s">
        <v>323</v>
      </c>
      <c r="CA53" s="368" t="s">
        <v>309</v>
      </c>
      <c r="CB53" s="383">
        <f>1+AZ13</f>
        <v>1.007</v>
      </c>
      <c r="CC53" s="266">
        <f t="shared" si="145"/>
        <v>2045</v>
      </c>
      <c r="CD53" s="267">
        <f t="shared" si="161"/>
        <v>0</v>
      </c>
      <c r="CE53" s="267">
        <f t="shared" si="146"/>
        <v>0</v>
      </c>
      <c r="CF53" s="267">
        <f t="shared" si="147"/>
        <v>0</v>
      </c>
      <c r="CG53" s="267">
        <f t="shared" si="160"/>
        <v>0</v>
      </c>
      <c r="CH53" s="267">
        <f t="shared" si="148"/>
        <v>0</v>
      </c>
      <c r="CI53" s="267">
        <f t="shared" si="149"/>
        <v>0</v>
      </c>
      <c r="CJ53" s="269">
        <f t="shared" si="150"/>
        <v>26.824613552202905</v>
      </c>
      <c r="CK53" s="269">
        <f t="shared" si="151"/>
        <v>3.401698348240096</v>
      </c>
      <c r="CL53" s="270">
        <f t="shared" si="152"/>
        <v>2045</v>
      </c>
      <c r="CM53" s="271">
        <f t="shared" si="131"/>
        <v>0</v>
      </c>
      <c r="CN53" s="271">
        <f t="shared" si="153"/>
        <v>0</v>
      </c>
      <c r="CO53" s="271">
        <f t="shared" si="154"/>
        <v>0</v>
      </c>
      <c r="CP53" s="271">
        <f t="shared" si="132"/>
        <v>0</v>
      </c>
      <c r="CQ53" s="271">
        <f t="shared" si="133"/>
        <v>0</v>
      </c>
      <c r="CR53" s="271">
        <f t="shared" si="134"/>
        <v>0</v>
      </c>
      <c r="CS53" s="271">
        <f t="shared" si="155"/>
        <v>0</v>
      </c>
      <c r="CT53" s="271">
        <f t="shared" si="156"/>
        <v>0</v>
      </c>
      <c r="CU53" s="272">
        <f t="shared" si="157"/>
        <v>2045</v>
      </c>
      <c r="CV53" s="273">
        <f t="shared" si="135"/>
        <v>0</v>
      </c>
      <c r="CW53" s="273">
        <f t="shared" si="136"/>
        <v>0</v>
      </c>
      <c r="CX53" s="273">
        <f t="shared" si="137"/>
        <v>0</v>
      </c>
      <c r="CY53" s="273">
        <f>IF(CT52=0,0,IF(CT53&gt;0,0,IF(AND(SUM(CT$7:CT52)&gt;0,SUM(CT53:CT$100)=0),CB$42,0)))</f>
        <v>0</v>
      </c>
      <c r="CZ53" s="273">
        <f>IF(CT52=0,0,IF(CT53&gt;0,0,IF(AND(SUM(CT$7:CT52)&gt;0,SUM(CT53:CT$100)=0),CB$41,0)))</f>
        <v>0</v>
      </c>
      <c r="DA53" s="273">
        <f>IF(SUM(CT$7:CT$100)=0,0,IF(SUM(CT53:CT$100)=0,CZ53-CY53,CM53-SUM(CN53:CR53)-CY53+CZ53))</f>
        <v>0</v>
      </c>
      <c r="DB53" s="274">
        <f t="shared" si="158"/>
        <v>2045</v>
      </c>
      <c r="DC53" s="275">
        <f t="shared" si="55"/>
        <v>0</v>
      </c>
      <c r="DD53" s="275">
        <f t="shared" si="56"/>
        <v>0</v>
      </c>
      <c r="DE53" s="275">
        <f t="shared" si="57"/>
        <v>0</v>
      </c>
      <c r="DF53" s="275">
        <f t="shared" si="58"/>
        <v>0</v>
      </c>
      <c r="DG53" s="360">
        <f t="shared" si="59"/>
        <v>0</v>
      </c>
      <c r="DH53" s="233"/>
      <c r="DI53" s="233"/>
      <c r="DJ53" s="233"/>
      <c r="DK53" s="233"/>
      <c r="DL53" s="37"/>
      <c r="DM53" s="37"/>
      <c r="DN53" s="37"/>
    </row>
    <row r="54" spans="1:118" ht="15">
      <c r="A54" s="337"/>
      <c r="B54" s="327"/>
      <c r="C54" s="331"/>
      <c r="D54" s="237"/>
      <c r="E54" s="237"/>
      <c r="F54" s="238">
        <f t="shared" si="106"/>
        <v>0</v>
      </c>
      <c r="G54" s="329"/>
      <c r="H54" s="239">
        <f t="shared" si="107"/>
        <v>0</v>
      </c>
      <c r="I54" s="322"/>
      <c r="J54" s="240">
        <f t="shared" si="108"/>
        <v>0</v>
      </c>
      <c r="K54" s="323"/>
      <c r="L54" s="241">
        <f t="shared" si="109"/>
        <v>0</v>
      </c>
      <c r="M54" s="324"/>
      <c r="N54" s="242">
        <f t="shared" si="110"/>
        <v>0</v>
      </c>
      <c r="O54" s="324"/>
      <c r="P54" s="243">
        <f t="shared" si="111"/>
        <v>0</v>
      </c>
      <c r="Q54" s="324"/>
      <c r="R54" s="244">
        <f t="shared" si="112"/>
        <v>0</v>
      </c>
      <c r="S54" s="325"/>
      <c r="T54" s="245">
        <f t="shared" si="113"/>
        <v>0</v>
      </c>
      <c r="U54" s="326"/>
      <c r="V54" s="246">
        <f t="shared" si="114"/>
        <v>0</v>
      </c>
      <c r="W54" s="326"/>
      <c r="X54" s="247">
        <f t="shared" si="115"/>
        <v>0</v>
      </c>
      <c r="Y54" s="248">
        <f t="shared" si="116"/>
        <v>0</v>
      </c>
      <c r="Z54" s="249">
        <f t="shared" si="117"/>
        <v>0</v>
      </c>
      <c r="AA54" s="249">
        <f t="shared" si="118"/>
        <v>0</v>
      </c>
      <c r="AB54" s="250">
        <f t="shared" si="119"/>
        <v>0</v>
      </c>
      <c r="AC54" s="250">
        <f t="shared" si="120"/>
        <v>0</v>
      </c>
      <c r="AD54" s="250">
        <f t="shared" si="159"/>
        <v>0</v>
      </c>
      <c r="AE54" s="239">
        <f t="shared" si="121"/>
        <v>0</v>
      </c>
      <c r="AF54" s="251">
        <f t="shared" si="122"/>
        <v>0</v>
      </c>
      <c r="AG54" s="251">
        <f t="shared" si="123"/>
        <v>0</v>
      </c>
      <c r="AH54" s="251">
        <f t="shared" si="138"/>
        <v>0</v>
      </c>
      <c r="AI54" s="251">
        <f t="shared" si="124"/>
        <v>0</v>
      </c>
      <c r="AJ54" s="251">
        <f t="shared" si="125"/>
        <v>0</v>
      </c>
      <c r="AK54" s="251">
        <f t="shared" si="139"/>
        <v>0</v>
      </c>
      <c r="AL54" s="245">
        <f t="shared" si="126"/>
        <v>0</v>
      </c>
      <c r="AM54" s="252">
        <f t="shared" si="140"/>
        <v>0</v>
      </c>
      <c r="AN54" s="252">
        <f t="shared" si="127"/>
        <v>0</v>
      </c>
      <c r="AO54" s="252">
        <f t="shared" si="128"/>
        <v>0</v>
      </c>
      <c r="AP54" s="252">
        <f t="shared" si="129"/>
        <v>0</v>
      </c>
      <c r="AQ54" s="252">
        <f t="shared" si="130"/>
        <v>0</v>
      </c>
      <c r="AR54" s="252">
        <f t="shared" si="141"/>
        <v>0</v>
      </c>
      <c r="AS54" s="131"/>
      <c r="AT54" s="131"/>
      <c r="AU54" s="132"/>
      <c r="AV54" s="409"/>
      <c r="AW54" s="407"/>
      <c r="AX54" s="350"/>
      <c r="AY54" s="347"/>
      <c r="AZ54" s="349"/>
      <c r="BA54" s="131"/>
      <c r="BB54" s="131"/>
      <c r="BC54" s="131"/>
      <c r="BD54" s="131"/>
      <c r="BE54" s="133"/>
      <c r="BF54" s="341"/>
      <c r="BG54" s="342"/>
      <c r="BH54" s="343"/>
      <c r="BI54" s="344"/>
      <c r="BJ54" s="345"/>
      <c r="BK54" s="346"/>
      <c r="BL54" s="135"/>
      <c r="BM54" s="341"/>
      <c r="BN54" s="342"/>
      <c r="BO54" s="343"/>
      <c r="BP54" s="344"/>
      <c r="BQ54" s="345"/>
      <c r="BR54" s="346"/>
      <c r="BS54" s="136"/>
      <c r="BT54" s="341"/>
      <c r="BU54" s="342"/>
      <c r="BV54" s="343"/>
      <c r="BW54" s="344"/>
      <c r="BX54" s="345"/>
      <c r="BY54" s="346"/>
      <c r="BZ54" s="368" t="s">
        <v>324</v>
      </c>
      <c r="CA54" s="368" t="s">
        <v>309</v>
      </c>
      <c r="CB54" s="383">
        <f>1+AZ39</f>
        <v>1.006</v>
      </c>
      <c r="CC54" s="266">
        <f t="shared" si="145"/>
        <v>2046</v>
      </c>
      <c r="CD54" s="267">
        <f t="shared" si="161"/>
        <v>0</v>
      </c>
      <c r="CE54" s="267">
        <f t="shared" si="146"/>
        <v>0</v>
      </c>
      <c r="CF54" s="267">
        <f t="shared" si="147"/>
        <v>0</v>
      </c>
      <c r="CG54" s="267">
        <f t="shared" si="160"/>
        <v>0</v>
      </c>
      <c r="CH54" s="267">
        <f t="shared" si="148"/>
        <v>0</v>
      </c>
      <c r="CI54" s="267">
        <f t="shared" si="149"/>
        <v>0</v>
      </c>
      <c r="CJ54" s="269">
        <f t="shared" si="150"/>
        <v>27.01238584706832</v>
      </c>
      <c r="CK54" s="269">
        <f t="shared" si="151"/>
        <v>3.4221085383295367</v>
      </c>
      <c r="CL54" s="270">
        <f t="shared" si="152"/>
        <v>2046</v>
      </c>
      <c r="CM54" s="271">
        <f t="shared" si="131"/>
        <v>0</v>
      </c>
      <c r="CN54" s="271">
        <f t="shared" si="153"/>
        <v>0</v>
      </c>
      <c r="CO54" s="271">
        <f t="shared" si="154"/>
        <v>0</v>
      </c>
      <c r="CP54" s="271">
        <f t="shared" si="132"/>
        <v>0</v>
      </c>
      <c r="CQ54" s="271">
        <f t="shared" si="133"/>
        <v>0</v>
      </c>
      <c r="CR54" s="271">
        <f t="shared" si="134"/>
        <v>0</v>
      </c>
      <c r="CS54" s="271">
        <f t="shared" si="155"/>
        <v>0</v>
      </c>
      <c r="CT54" s="271">
        <f t="shared" si="156"/>
        <v>0</v>
      </c>
      <c r="CU54" s="272">
        <f t="shared" si="157"/>
        <v>2046</v>
      </c>
      <c r="CV54" s="273">
        <f t="shared" si="135"/>
        <v>0</v>
      </c>
      <c r="CW54" s="273">
        <f t="shared" si="136"/>
        <v>0</v>
      </c>
      <c r="CX54" s="273">
        <f t="shared" si="137"/>
        <v>0</v>
      </c>
      <c r="CY54" s="273">
        <f>IF(CT53=0,0,IF(CT54&gt;0,0,IF(AND(SUM(CT$7:CT53)&gt;0,SUM(CT54:CT$100)=0),CB$42,0)))</f>
        <v>0</v>
      </c>
      <c r="CZ54" s="273">
        <f>IF(CT53=0,0,IF(CT54&gt;0,0,IF(AND(SUM(CT$7:CT53)&gt;0,SUM(CT54:CT$100)=0),CB$41,0)))</f>
        <v>0</v>
      </c>
      <c r="DA54" s="273">
        <f>IF(SUM(CT$7:CT$100)=0,0,IF(SUM(CT54:CT$100)=0,CZ54-CY54,CM54-SUM(CN54:CR54)-CY54+CZ54))</f>
        <v>0</v>
      </c>
      <c r="DB54" s="274">
        <f t="shared" si="158"/>
        <v>2046</v>
      </c>
      <c r="DC54" s="275">
        <f t="shared" si="55"/>
        <v>0</v>
      </c>
      <c r="DD54" s="275">
        <f t="shared" si="56"/>
        <v>0</v>
      </c>
      <c r="DE54" s="275">
        <f t="shared" si="57"/>
        <v>0</v>
      </c>
      <c r="DF54" s="275">
        <f t="shared" si="58"/>
        <v>0</v>
      </c>
      <c r="DG54" s="360">
        <f t="shared" si="59"/>
        <v>0</v>
      </c>
      <c r="DH54" s="56"/>
      <c r="DI54" s="56"/>
      <c r="DJ54" s="233"/>
      <c r="DK54" s="233"/>
      <c r="DL54" s="37"/>
      <c r="DM54" s="37"/>
      <c r="DN54" s="37"/>
    </row>
    <row r="55" spans="1:118" ht="15">
      <c r="A55" s="337"/>
      <c r="B55" s="327"/>
      <c r="C55" s="331"/>
      <c r="D55" s="237"/>
      <c r="E55" s="237"/>
      <c r="F55" s="238">
        <f t="shared" si="106"/>
        <v>0</v>
      </c>
      <c r="G55" s="329"/>
      <c r="H55" s="239">
        <f t="shared" si="107"/>
        <v>0</v>
      </c>
      <c r="I55" s="322"/>
      <c r="J55" s="240">
        <f t="shared" si="108"/>
        <v>0</v>
      </c>
      <c r="K55" s="323"/>
      <c r="L55" s="241">
        <f t="shared" si="109"/>
        <v>0</v>
      </c>
      <c r="M55" s="324"/>
      <c r="N55" s="242">
        <f t="shared" si="110"/>
        <v>0</v>
      </c>
      <c r="O55" s="324"/>
      <c r="P55" s="243">
        <f t="shared" si="111"/>
        <v>0</v>
      </c>
      <c r="Q55" s="324"/>
      <c r="R55" s="244">
        <f t="shared" si="112"/>
        <v>0</v>
      </c>
      <c r="S55" s="325"/>
      <c r="T55" s="245">
        <f t="shared" si="113"/>
        <v>0</v>
      </c>
      <c r="U55" s="326"/>
      <c r="V55" s="246">
        <f t="shared" si="114"/>
        <v>0</v>
      </c>
      <c r="W55" s="326"/>
      <c r="X55" s="247">
        <f t="shared" si="115"/>
        <v>0</v>
      </c>
      <c r="Y55" s="248">
        <f aca="true" t="shared" si="162" ref="Y55:Y70">IF(I55=1,Q55*S55,0)*G55</f>
        <v>0</v>
      </c>
      <c r="Z55" s="249">
        <f aca="true" t="shared" si="163" ref="Z55:Z70">IF(I55=1,Q55*S55*(U55/1000),0)*G55</f>
        <v>0</v>
      </c>
      <c r="AA55" s="249">
        <f aca="true" t="shared" si="164" ref="AA55:AA70">Z55*($M55/1000)</f>
        <v>0</v>
      </c>
      <c r="AB55" s="250">
        <f aca="true" t="shared" si="165" ref="AB55:AB70">IF(I55=2,Q55*S55,0)*G55</f>
        <v>0</v>
      </c>
      <c r="AC55" s="250">
        <f aca="true" t="shared" si="166" ref="AC55:AC70">IF(I55=2,Q55*S55*(W55/1000),0)*G55</f>
        <v>0</v>
      </c>
      <c r="AD55" s="250">
        <f t="shared" si="159"/>
        <v>0</v>
      </c>
      <c r="AE55" s="239">
        <f t="shared" si="121"/>
        <v>0</v>
      </c>
      <c r="AF55" s="251">
        <f aca="true" t="shared" si="167" ref="AF55:AF70">IF(I55=3,Q55*S55*K55,0)*G55</f>
        <v>0</v>
      </c>
      <c r="AG55" s="251">
        <f aca="true" t="shared" si="168" ref="AG55:AG70">IF(I55=3,Q55*S55*(U55/1000)*K55,0)*G55</f>
        <v>0</v>
      </c>
      <c r="AH55" s="251">
        <f t="shared" si="138"/>
        <v>0</v>
      </c>
      <c r="AI55" s="251">
        <f aca="true" t="shared" si="169" ref="AI55:AI70">IF(I55=3,Q55*S55*(1-K55),0)*G55</f>
        <v>0</v>
      </c>
      <c r="AJ55" s="251">
        <f aca="true" t="shared" si="170" ref="AJ55:AJ70">IF(I55=3,Q55*S55*(W55/1000)*(1-K55),0)*G55</f>
        <v>0</v>
      </c>
      <c r="AK55" s="251">
        <f t="shared" si="139"/>
        <v>0</v>
      </c>
      <c r="AL55" s="245">
        <f t="shared" si="126"/>
        <v>0</v>
      </c>
      <c r="AM55" s="252">
        <f t="shared" si="140"/>
        <v>0</v>
      </c>
      <c r="AN55" s="252">
        <f aca="true" t="shared" si="171" ref="AN55:AN70">Z55+AD55+AG55+AK55</f>
        <v>0</v>
      </c>
      <c r="AO55" s="252">
        <f aca="true" t="shared" si="172" ref="AO55:AO70">AA55+AC55+AH55+AJ55</f>
        <v>0</v>
      </c>
      <c r="AP55" s="252">
        <f aca="true" t="shared" si="173" ref="AP55:AP70">AN55+(AO55/A$36)</f>
        <v>0</v>
      </c>
      <c r="AQ55" s="252">
        <f aca="true" t="shared" si="174" ref="AQ55:AQ70">IF(I55=1,(Q55*S55*(U55/1000))+((Q55*S55*(U55/1000))*(M55/5620)),IF(I55=2,(Q55*S55*(W55/5620))+((Q55*S55*(W55/1000))*(O55/1000)),(Q55*S55*(U55/1000)*K55)+((Q55*S55*(U55/1000)*K55)*(M55/5620))+(Q55*S55*(W55/5620)*(1-K55))+((Q55*S55*(W55/1000)*(1-K55))*(O55/1000))))</f>
        <v>0</v>
      </c>
      <c r="AR55" s="252">
        <f t="shared" si="141"/>
        <v>0</v>
      </c>
      <c r="AS55" s="131"/>
      <c r="AT55" s="131"/>
      <c r="AU55" s="132"/>
      <c r="AV55" s="406" t="s">
        <v>325</v>
      </c>
      <c r="AW55" s="407"/>
      <c r="AX55" s="459">
        <v>0.2351195780906835</v>
      </c>
      <c r="AY55" s="347"/>
      <c r="AZ55" s="349"/>
      <c r="BA55" s="131"/>
      <c r="BB55" s="131"/>
      <c r="BC55" s="131"/>
      <c r="BD55" s="131"/>
      <c r="BE55" s="133"/>
      <c r="BF55" s="341"/>
      <c r="BG55" s="342"/>
      <c r="BH55" s="343"/>
      <c r="BI55" s="344"/>
      <c r="BJ55" s="345"/>
      <c r="BK55" s="346"/>
      <c r="BL55" s="135"/>
      <c r="BM55" s="341"/>
      <c r="BN55" s="342"/>
      <c r="BO55" s="343"/>
      <c r="BP55" s="344"/>
      <c r="BQ55" s="345"/>
      <c r="BR55" s="346"/>
      <c r="BS55" s="136"/>
      <c r="BT55" s="341"/>
      <c r="BU55" s="342"/>
      <c r="BV55" s="343"/>
      <c r="BW55" s="344"/>
      <c r="BX55" s="345"/>
      <c r="BY55" s="346"/>
      <c r="BZ55" s="376" t="s">
        <v>326</v>
      </c>
      <c r="CA55" s="376" t="s">
        <v>140</v>
      </c>
      <c r="CB55" s="384">
        <f>(DATE(YEAR(C8),12,31)-C8)/(DATE(YEAR(C8),12,31)-DATE(YEAR(C8)-1,12,31))</f>
        <v>0.13972602739726028</v>
      </c>
      <c r="CC55" s="266">
        <f t="shared" si="145"/>
        <v>2047</v>
      </c>
      <c r="CD55" s="267">
        <f t="shared" si="161"/>
        <v>0</v>
      </c>
      <c r="CE55" s="267">
        <f t="shared" si="146"/>
        <v>0</v>
      </c>
      <c r="CF55" s="267">
        <f t="shared" si="147"/>
        <v>0</v>
      </c>
      <c r="CG55" s="267">
        <f t="shared" si="160"/>
        <v>0</v>
      </c>
      <c r="CH55" s="267">
        <f t="shared" si="148"/>
        <v>0</v>
      </c>
      <c r="CI55" s="267">
        <f t="shared" si="149"/>
        <v>0</v>
      </c>
      <c r="CJ55" s="269">
        <f t="shared" si="150"/>
        <v>27.201472547997795</v>
      </c>
      <c r="CK55" s="269">
        <f t="shared" si="151"/>
        <v>3.4426411895595135</v>
      </c>
      <c r="CL55" s="270">
        <f t="shared" si="152"/>
        <v>2047</v>
      </c>
      <c r="CM55" s="271">
        <f aca="true" t="shared" si="175" ref="CM55:CM70">(CH55*CJ55)+(CI55*CK55)</f>
        <v>0</v>
      </c>
      <c r="CN55" s="271">
        <f t="shared" si="153"/>
        <v>0</v>
      </c>
      <c r="CO55" s="271">
        <f t="shared" si="154"/>
        <v>0</v>
      </c>
      <c r="CP55" s="271">
        <f aca="true" t="shared" si="176" ref="CP55:CP70">IF(CG55&gt;0,CB$24,0)</f>
        <v>0</v>
      </c>
      <c r="CQ55" s="271">
        <f aca="true" t="shared" si="177" ref="CQ55:CQ70">CG55*CB$25</f>
        <v>0</v>
      </c>
      <c r="CR55" s="271">
        <f aca="true" t="shared" si="178" ref="CR55:CR70">(CH55*CB$26)+(CI55*CB$37)</f>
        <v>0</v>
      </c>
      <c r="CS55" s="271">
        <f t="shared" si="155"/>
        <v>0</v>
      </c>
      <c r="CT55" s="271">
        <f t="shared" si="156"/>
        <v>0</v>
      </c>
      <c r="CU55" s="272">
        <f t="shared" si="157"/>
        <v>2047</v>
      </c>
      <c r="CV55" s="273">
        <f aca="true" t="shared" si="179" ref="CV55:CV70">IF(SUM(CT$7:CT$100)=0,0,CG55)</f>
        <v>0</v>
      </c>
      <c r="CW55" s="273">
        <f aca="true" t="shared" si="180" ref="CW55:CW70">IF(SUM(CT$7:CT$100)=0,0,CN55+CO55)</f>
        <v>0</v>
      </c>
      <c r="CX55" s="273">
        <f aca="true" t="shared" si="181" ref="CX55:CX70">IF(SUM(CT$7:CT$100)=0,0,CP55+CQ55+CR55)</f>
        <v>0</v>
      </c>
      <c r="CY55" s="273">
        <f>IF(CT54=0,0,IF(CT55&gt;0,0,IF(AND(SUM(CT$7:CT54)&gt;0,SUM(CT55:CT$100)=0),CB$42,0)))</f>
        <v>0</v>
      </c>
      <c r="CZ55" s="273">
        <f>IF(CT54=0,0,IF(CT55&gt;0,0,IF(AND(SUM(CT$7:CT54)&gt;0,SUM(CT55:CT$100)=0),CB$41,0)))</f>
        <v>0</v>
      </c>
      <c r="DA55" s="273">
        <f>IF(SUM(CT$7:CT$100)=0,0,IF(SUM(CT55:CT$100)=0,CZ55-CY55,CM55-SUM(CN55:CR55)-CY55+CZ55))</f>
        <v>0</v>
      </c>
      <c r="DB55" s="274">
        <f t="shared" si="158"/>
        <v>2047</v>
      </c>
      <c r="DC55" s="275">
        <f t="shared" si="55"/>
        <v>0</v>
      </c>
      <c r="DD55" s="275">
        <f t="shared" si="56"/>
        <v>0</v>
      </c>
      <c r="DE55" s="275">
        <f t="shared" si="57"/>
        <v>0</v>
      </c>
      <c r="DF55" s="275">
        <f t="shared" si="58"/>
        <v>0</v>
      </c>
      <c r="DG55" s="360">
        <f t="shared" si="59"/>
        <v>0</v>
      </c>
      <c r="DH55" s="56"/>
      <c r="DI55" s="56"/>
      <c r="DJ55" s="233"/>
      <c r="DK55" s="233"/>
      <c r="DL55" s="37"/>
      <c r="DM55" s="37"/>
      <c r="DN55" s="37"/>
    </row>
    <row r="56" spans="1:118" ht="15">
      <c r="A56" s="337"/>
      <c r="B56" s="327"/>
      <c r="C56" s="331"/>
      <c r="D56" s="237"/>
      <c r="E56" s="237"/>
      <c r="F56" s="238">
        <f t="shared" si="106"/>
        <v>0</v>
      </c>
      <c r="G56" s="329"/>
      <c r="H56" s="239">
        <f t="shared" si="107"/>
        <v>0</v>
      </c>
      <c r="I56" s="322"/>
      <c r="J56" s="240">
        <f t="shared" si="108"/>
        <v>0</v>
      </c>
      <c r="K56" s="323"/>
      <c r="L56" s="241">
        <f t="shared" si="109"/>
        <v>0</v>
      </c>
      <c r="M56" s="324"/>
      <c r="N56" s="242">
        <f t="shared" si="110"/>
        <v>0</v>
      </c>
      <c r="O56" s="324"/>
      <c r="P56" s="243">
        <f t="shared" si="111"/>
        <v>0</v>
      </c>
      <c r="Q56" s="324"/>
      <c r="R56" s="244">
        <f t="shared" si="112"/>
        <v>0</v>
      </c>
      <c r="S56" s="325"/>
      <c r="T56" s="245">
        <f t="shared" si="113"/>
        <v>0</v>
      </c>
      <c r="U56" s="326"/>
      <c r="V56" s="246">
        <f t="shared" si="114"/>
        <v>0</v>
      </c>
      <c r="W56" s="326"/>
      <c r="X56" s="247">
        <f t="shared" si="115"/>
        <v>0</v>
      </c>
      <c r="Y56" s="248">
        <f t="shared" si="162"/>
        <v>0</v>
      </c>
      <c r="Z56" s="249">
        <f t="shared" si="163"/>
        <v>0</v>
      </c>
      <c r="AA56" s="249">
        <f t="shared" si="164"/>
        <v>0</v>
      </c>
      <c r="AB56" s="250">
        <f t="shared" si="165"/>
        <v>0</v>
      </c>
      <c r="AC56" s="250">
        <f t="shared" si="166"/>
        <v>0</v>
      </c>
      <c r="AD56" s="250">
        <f t="shared" si="159"/>
        <v>0</v>
      </c>
      <c r="AE56" s="239">
        <f t="shared" si="121"/>
        <v>0</v>
      </c>
      <c r="AF56" s="251">
        <f t="shared" si="167"/>
        <v>0</v>
      </c>
      <c r="AG56" s="251">
        <f t="shared" si="168"/>
        <v>0</v>
      </c>
      <c r="AH56" s="251">
        <f aca="true" t="shared" si="182" ref="AH56:AH71">AG56*($M56/1000)</f>
        <v>0</v>
      </c>
      <c r="AI56" s="251">
        <f t="shared" si="169"/>
        <v>0</v>
      </c>
      <c r="AJ56" s="251">
        <f t="shared" si="170"/>
        <v>0</v>
      </c>
      <c r="AK56" s="251">
        <f aca="true" t="shared" si="183" ref="AK56:AK71">AJ56*($O56/1000)</f>
        <v>0</v>
      </c>
      <c r="AL56" s="245">
        <f t="shared" si="126"/>
        <v>0</v>
      </c>
      <c r="AM56" s="252">
        <f aca="true" t="shared" si="184" ref="AM56:AM71">Y56+AB56+AF56+AI56</f>
        <v>0</v>
      </c>
      <c r="AN56" s="252">
        <f t="shared" si="171"/>
        <v>0</v>
      </c>
      <c r="AO56" s="252">
        <f t="shared" si="172"/>
        <v>0</v>
      </c>
      <c r="AP56" s="252">
        <f t="shared" si="173"/>
        <v>0</v>
      </c>
      <c r="AQ56" s="252">
        <f t="shared" si="174"/>
        <v>0</v>
      </c>
      <c r="AR56" s="252">
        <f aca="true" t="shared" si="185" ref="AR56:AR71">IF(G56=0,0,AQ56)</f>
        <v>0</v>
      </c>
      <c r="AS56" s="131"/>
      <c r="AT56" s="131"/>
      <c r="AU56" s="132"/>
      <c r="AV56" s="37"/>
      <c r="AW56" s="233"/>
      <c r="AX56" s="233"/>
      <c r="AY56" s="347"/>
      <c r="AZ56" s="349"/>
      <c r="BA56" s="131"/>
      <c r="BB56" s="131"/>
      <c r="BC56" s="131"/>
      <c r="BD56" s="131"/>
      <c r="BE56" s="133"/>
      <c r="BF56" s="341"/>
      <c r="BG56" s="342"/>
      <c r="BH56" s="343"/>
      <c r="BI56" s="344"/>
      <c r="BJ56" s="345"/>
      <c r="BK56" s="346"/>
      <c r="BL56" s="135"/>
      <c r="BM56" s="341"/>
      <c r="BN56" s="342"/>
      <c r="BO56" s="343"/>
      <c r="BP56" s="344"/>
      <c r="BQ56" s="345"/>
      <c r="BR56" s="346"/>
      <c r="BS56" s="136"/>
      <c r="BT56" s="341"/>
      <c r="BU56" s="342"/>
      <c r="BV56" s="343"/>
      <c r="BW56" s="344"/>
      <c r="BX56" s="345"/>
      <c r="BY56" s="346"/>
      <c r="BZ56" s="156"/>
      <c r="CA56" s="156"/>
      <c r="CB56" s="156"/>
      <c r="CC56" s="266">
        <f aca="true" t="shared" si="186" ref="CC56:CC71">CC55+1</f>
        <v>2048</v>
      </c>
      <c r="CD56" s="267">
        <f t="shared" si="161"/>
        <v>0</v>
      </c>
      <c r="CE56" s="267">
        <f aca="true" t="shared" si="187" ref="CE56:CE71">(CD56/SUM(CD$7:CD$100))*CB$12</f>
        <v>0</v>
      </c>
      <c r="CF56" s="267">
        <f aca="true" t="shared" si="188" ref="CF56:CF71">IF(CB$5&gt;=CB$6,IF(CE56+CF55-CB$8&lt;=0,0,CE56+CF55-CB$8),IF(CE56+CF55-CB$9&lt;=0,0,CE56+CF55-CB$9))</f>
        <v>0</v>
      </c>
      <c r="CG56" s="267">
        <f t="shared" si="160"/>
        <v>0</v>
      </c>
      <c r="CH56" s="267">
        <f aca="true" t="shared" si="189" ref="CH56:CH71">CG56*CB$16</f>
        <v>0</v>
      </c>
      <c r="CI56" s="267">
        <f aca="true" t="shared" si="190" ref="CI56:CI71">(CG56-CH56)*CB$7</f>
        <v>0</v>
      </c>
      <c r="CJ56" s="269">
        <f aca="true" t="shared" si="191" ref="CJ56:CJ71">IF(CC56=0,"",IF(CC56&lt;AZ$5,0,IF(CC56&lt;AZ$9,CB$43*CB$44^(CC56-AZ$5),IF(CC56&lt;AZ$12,CB$47*CB$49^(CC56-AZ$9),CB$51*CB$53^(CC56-AZ$12)))))</f>
        <v>27.39188285583378</v>
      </c>
      <c r="CK56" s="269">
        <f aca="true" t="shared" si="192" ref="CK56:CK71">IF(CC56=0,"",IF(CC56&lt;AZ$31,0,IF(CC56&lt;AZ$35,CB$45*CB$46^(CC56-AZ$31),IF(CC56&lt;AZ$38,CB$48*CB$50^(CC56-AZ$35),CB$52*CB$54^(CC56-AZ$38)))))</f>
        <v>3.4632970366968703</v>
      </c>
      <c r="CL56" s="270">
        <f aca="true" t="shared" si="193" ref="CL56:CL71">CL55+1</f>
        <v>2048</v>
      </c>
      <c r="CM56" s="271">
        <f t="shared" si="175"/>
        <v>0</v>
      </c>
      <c r="CN56" s="271">
        <f aca="true" t="shared" si="194" ref="CN56:CN71">IF(CB$4&lt;AW$36,BF56*CB$18,IF(CB$4&lt;AW$38,BM56*CB$18,BT56*CB$18))</f>
        <v>0</v>
      </c>
      <c r="CO56" s="271">
        <f aca="true" t="shared" si="195" ref="CO56:CO71">IF(CB$12&lt;AW$36,(BG56*CB$20)+(BH56*CB$21)+(BI56*CB$22)+(BJ56*CB$23),IF(CB$12&lt;AW$38,(BN56*CB$20)+(BO56*CB$21)+(BP56*CB$22)+(BQ56*CB$23),(BU56*CB$20)+(BV56*CB$21)+(BW56*CB$22)+(BX56*CB$23)))</f>
        <v>0</v>
      </c>
      <c r="CP56" s="271">
        <f t="shared" si="176"/>
        <v>0</v>
      </c>
      <c r="CQ56" s="271">
        <f t="shared" si="177"/>
        <v>0</v>
      </c>
      <c r="CR56" s="271">
        <f t="shared" si="178"/>
        <v>0</v>
      </c>
      <c r="CS56" s="271">
        <f aca="true" t="shared" si="196" ref="CS56:CS71">CM56-CP56-CQ56-CR56</f>
        <v>0</v>
      </c>
      <c r="CT56" s="271">
        <f aca="true" t="shared" si="197" ref="CT56:CT71">IF(CS56&lt;=0,0,1)</f>
        <v>0</v>
      </c>
      <c r="CU56" s="272">
        <f aca="true" t="shared" si="198" ref="CU56:CU71">CU55+1</f>
        <v>2048</v>
      </c>
      <c r="CV56" s="273">
        <f t="shared" si="179"/>
        <v>0</v>
      </c>
      <c r="CW56" s="273">
        <f t="shared" si="180"/>
        <v>0</v>
      </c>
      <c r="CX56" s="273">
        <f t="shared" si="181"/>
        <v>0</v>
      </c>
      <c r="CY56" s="273">
        <f>IF(CT55=0,0,IF(CT56&gt;0,0,IF(AND(SUM(CT$7:CT55)&gt;0,SUM(CT56:CT$100)=0),CB$42,0)))</f>
        <v>0</v>
      </c>
      <c r="CZ56" s="273">
        <f>IF(CT55=0,0,IF(CT56&gt;0,0,IF(AND(SUM(CT$7:CT55)&gt;0,SUM(CT56:CT$100)=0),CB$41,0)))</f>
        <v>0</v>
      </c>
      <c r="DA56" s="273">
        <f>IF(SUM(CT$7:CT$100)=0,0,IF(SUM(CT56:CT$100)=0,CZ56-CY56,CM56-SUM(CN56:CR56)-CY56+CZ56))</f>
        <v>0</v>
      </c>
      <c r="DB56" s="274">
        <f aca="true" t="shared" si="199" ref="DB56:DB71">DB55+1</f>
        <v>2048</v>
      </c>
      <c r="DC56" s="275">
        <f t="shared" si="55"/>
        <v>0</v>
      </c>
      <c r="DD56" s="275">
        <f t="shared" si="56"/>
        <v>0</v>
      </c>
      <c r="DE56" s="275">
        <f t="shared" si="57"/>
        <v>0</v>
      </c>
      <c r="DF56" s="275">
        <f t="shared" si="58"/>
        <v>0</v>
      </c>
      <c r="DG56" s="360">
        <f t="shared" si="59"/>
        <v>0</v>
      </c>
      <c r="DH56" s="56"/>
      <c r="DI56" s="56"/>
      <c r="DJ56" s="233"/>
      <c r="DK56" s="233"/>
      <c r="DL56" s="37"/>
      <c r="DM56" s="37"/>
      <c r="DN56" s="37"/>
    </row>
    <row r="57" spans="1:118" ht="15">
      <c r="A57" s="337"/>
      <c r="B57" s="327"/>
      <c r="C57" s="331"/>
      <c r="D57" s="236"/>
      <c r="E57" s="236"/>
      <c r="F57" s="238">
        <f t="shared" si="106"/>
        <v>0</v>
      </c>
      <c r="G57" s="329"/>
      <c r="H57" s="239">
        <f t="shared" si="107"/>
        <v>0</v>
      </c>
      <c r="I57" s="351"/>
      <c r="J57" s="240">
        <f t="shared" si="108"/>
        <v>0</v>
      </c>
      <c r="K57" s="329"/>
      <c r="L57" s="241">
        <f t="shared" si="109"/>
        <v>0</v>
      </c>
      <c r="M57" s="326"/>
      <c r="N57" s="242">
        <f t="shared" si="110"/>
        <v>0</v>
      </c>
      <c r="O57" s="326"/>
      <c r="P57" s="243">
        <f t="shared" si="111"/>
        <v>0</v>
      </c>
      <c r="Q57" s="326"/>
      <c r="R57" s="244">
        <f t="shared" si="112"/>
        <v>0</v>
      </c>
      <c r="S57" s="325"/>
      <c r="T57" s="245">
        <f t="shared" si="113"/>
        <v>0</v>
      </c>
      <c r="U57" s="326"/>
      <c r="V57" s="246">
        <f t="shared" si="114"/>
        <v>0</v>
      </c>
      <c r="W57" s="326"/>
      <c r="X57" s="247">
        <f t="shared" si="115"/>
        <v>0</v>
      </c>
      <c r="Y57" s="248">
        <f t="shared" si="162"/>
        <v>0</v>
      </c>
      <c r="Z57" s="249">
        <f t="shared" si="163"/>
        <v>0</v>
      </c>
      <c r="AA57" s="249">
        <f t="shared" si="164"/>
        <v>0</v>
      </c>
      <c r="AB57" s="250">
        <f t="shared" si="165"/>
        <v>0</v>
      </c>
      <c r="AC57" s="250">
        <f t="shared" si="166"/>
        <v>0</v>
      </c>
      <c r="AD57" s="250">
        <f aca="true" t="shared" si="200" ref="AD57:AD72">AC57*($O57/1000)</f>
        <v>0</v>
      </c>
      <c r="AE57" s="239">
        <f t="shared" si="121"/>
        <v>0</v>
      </c>
      <c r="AF57" s="251">
        <f t="shared" si="167"/>
        <v>0</v>
      </c>
      <c r="AG57" s="251">
        <f t="shared" si="168"/>
        <v>0</v>
      </c>
      <c r="AH57" s="251">
        <f t="shared" si="182"/>
        <v>0</v>
      </c>
      <c r="AI57" s="251">
        <f t="shared" si="169"/>
        <v>0</v>
      </c>
      <c r="AJ57" s="251">
        <f t="shared" si="170"/>
        <v>0</v>
      </c>
      <c r="AK57" s="251">
        <f t="shared" si="183"/>
        <v>0</v>
      </c>
      <c r="AL57" s="245">
        <f t="shared" si="126"/>
        <v>0</v>
      </c>
      <c r="AM57" s="252">
        <f t="shared" si="184"/>
        <v>0</v>
      </c>
      <c r="AN57" s="252">
        <f t="shared" si="171"/>
        <v>0</v>
      </c>
      <c r="AO57" s="252">
        <f t="shared" si="172"/>
        <v>0</v>
      </c>
      <c r="AP57" s="252">
        <f t="shared" si="173"/>
        <v>0</v>
      </c>
      <c r="AQ57" s="252">
        <f t="shared" si="174"/>
        <v>0</v>
      </c>
      <c r="AR57" s="252">
        <f t="shared" si="185"/>
        <v>0</v>
      </c>
      <c r="AS57" s="131"/>
      <c r="AT57" s="131"/>
      <c r="AU57" s="132"/>
      <c r="AV57" s="233"/>
      <c r="AW57" s="233"/>
      <c r="AX57" s="233"/>
      <c r="AY57" s="347"/>
      <c r="AZ57" s="349"/>
      <c r="BA57" s="131"/>
      <c r="BB57" s="131"/>
      <c r="BC57" s="131"/>
      <c r="BD57" s="131"/>
      <c r="BE57" s="133"/>
      <c r="BF57" s="341"/>
      <c r="BG57" s="342"/>
      <c r="BH57" s="343"/>
      <c r="BI57" s="344"/>
      <c r="BJ57" s="345"/>
      <c r="BK57" s="346"/>
      <c r="BL57" s="135"/>
      <c r="BM57" s="341"/>
      <c r="BN57" s="342"/>
      <c r="BO57" s="343"/>
      <c r="BP57" s="344"/>
      <c r="BQ57" s="345"/>
      <c r="BR57" s="346"/>
      <c r="BS57" s="136"/>
      <c r="BT57" s="341"/>
      <c r="BU57" s="342"/>
      <c r="BV57" s="343"/>
      <c r="BW57" s="344"/>
      <c r="BX57" s="345"/>
      <c r="BY57" s="346"/>
      <c r="BZ57" s="156"/>
      <c r="CA57" s="156"/>
      <c r="CB57" s="156"/>
      <c r="CC57" s="266">
        <f t="shared" si="186"/>
        <v>2049</v>
      </c>
      <c r="CD57" s="267">
        <f t="shared" si="161"/>
        <v>0</v>
      </c>
      <c r="CE57" s="267">
        <f t="shared" si="187"/>
        <v>0</v>
      </c>
      <c r="CF57" s="267">
        <f t="shared" si="188"/>
        <v>0</v>
      </c>
      <c r="CG57" s="267">
        <f t="shared" si="160"/>
        <v>0</v>
      </c>
      <c r="CH57" s="267">
        <f t="shared" si="189"/>
        <v>0</v>
      </c>
      <c r="CI57" s="267">
        <f t="shared" si="190"/>
        <v>0</v>
      </c>
      <c r="CJ57" s="269">
        <f t="shared" si="191"/>
        <v>27.58362603582461</v>
      </c>
      <c r="CK57" s="269">
        <f t="shared" si="192"/>
        <v>3.484076818917052</v>
      </c>
      <c r="CL57" s="270">
        <f t="shared" si="193"/>
        <v>2049</v>
      </c>
      <c r="CM57" s="271">
        <f t="shared" si="175"/>
        <v>0</v>
      </c>
      <c r="CN57" s="271">
        <f t="shared" si="194"/>
        <v>0</v>
      </c>
      <c r="CO57" s="271">
        <f t="shared" si="195"/>
        <v>0</v>
      </c>
      <c r="CP57" s="271">
        <f t="shared" si="176"/>
        <v>0</v>
      </c>
      <c r="CQ57" s="271">
        <f t="shared" si="177"/>
        <v>0</v>
      </c>
      <c r="CR57" s="271">
        <f t="shared" si="178"/>
        <v>0</v>
      </c>
      <c r="CS57" s="271">
        <f t="shared" si="196"/>
        <v>0</v>
      </c>
      <c r="CT57" s="271">
        <f t="shared" si="197"/>
        <v>0</v>
      </c>
      <c r="CU57" s="272">
        <f t="shared" si="198"/>
        <v>2049</v>
      </c>
      <c r="CV57" s="273">
        <f t="shared" si="179"/>
        <v>0</v>
      </c>
      <c r="CW57" s="273">
        <f t="shared" si="180"/>
        <v>0</v>
      </c>
      <c r="CX57" s="273">
        <f t="shared" si="181"/>
        <v>0</v>
      </c>
      <c r="CY57" s="273">
        <f>IF(CT56=0,0,IF(CT57&gt;0,0,IF(AND(SUM(CT$7:CT56)&gt;0,SUM(CT57:CT$100)=0),CB$42,0)))</f>
        <v>0</v>
      </c>
      <c r="CZ57" s="273">
        <f>IF(CT56=0,0,IF(CT57&gt;0,0,IF(AND(SUM(CT$7:CT56)&gt;0,SUM(CT57:CT$100)=0),CB$41,0)))</f>
        <v>0</v>
      </c>
      <c r="DA57" s="273">
        <f>IF(SUM(CT$7:CT$100)=0,0,IF(SUM(CT57:CT$100)=0,CZ57-CY57,CM57-SUM(CN57:CR57)-CY57+CZ57))</f>
        <v>0</v>
      </c>
      <c r="DB57" s="274">
        <f t="shared" si="199"/>
        <v>2049</v>
      </c>
      <c r="DC57" s="275">
        <f t="shared" si="55"/>
        <v>0</v>
      </c>
      <c r="DD57" s="275">
        <f t="shared" si="56"/>
        <v>0</v>
      </c>
      <c r="DE57" s="275">
        <f t="shared" si="57"/>
        <v>0</v>
      </c>
      <c r="DF57" s="275">
        <f t="shared" si="58"/>
        <v>0</v>
      </c>
      <c r="DG57" s="360">
        <f t="shared" si="59"/>
        <v>0</v>
      </c>
      <c r="DH57" s="56"/>
      <c r="DI57" s="56"/>
      <c r="DJ57" s="233"/>
      <c r="DK57" s="233"/>
      <c r="DL57" s="37"/>
      <c r="DM57" s="37"/>
      <c r="DN57" s="37"/>
    </row>
    <row r="58" spans="1:118" ht="20.25">
      <c r="A58" s="337"/>
      <c r="B58" s="327"/>
      <c r="C58" s="331"/>
      <c r="D58" s="352"/>
      <c r="E58" s="236"/>
      <c r="F58" s="238">
        <f t="shared" si="106"/>
        <v>0</v>
      </c>
      <c r="G58" s="329"/>
      <c r="H58" s="239">
        <f t="shared" si="107"/>
        <v>0</v>
      </c>
      <c r="I58" s="351"/>
      <c r="J58" s="240">
        <f t="shared" si="108"/>
        <v>0</v>
      </c>
      <c r="K58" s="329"/>
      <c r="L58" s="241">
        <f t="shared" si="109"/>
        <v>0</v>
      </c>
      <c r="M58" s="326"/>
      <c r="N58" s="242">
        <f t="shared" si="110"/>
        <v>0</v>
      </c>
      <c r="O58" s="326"/>
      <c r="P58" s="243">
        <f t="shared" si="111"/>
        <v>0</v>
      </c>
      <c r="Q58" s="326"/>
      <c r="R58" s="244">
        <f t="shared" si="112"/>
        <v>0</v>
      </c>
      <c r="S58" s="325"/>
      <c r="T58" s="245">
        <f t="shared" si="113"/>
        <v>0</v>
      </c>
      <c r="U58" s="326"/>
      <c r="V58" s="246">
        <f t="shared" si="114"/>
        <v>0</v>
      </c>
      <c r="W58" s="326"/>
      <c r="X58" s="247">
        <f t="shared" si="115"/>
        <v>0</v>
      </c>
      <c r="Y58" s="248">
        <f t="shared" si="162"/>
        <v>0</v>
      </c>
      <c r="Z58" s="249">
        <f t="shared" si="163"/>
        <v>0</v>
      </c>
      <c r="AA58" s="249">
        <f t="shared" si="164"/>
        <v>0</v>
      </c>
      <c r="AB58" s="250">
        <f t="shared" si="165"/>
        <v>0</v>
      </c>
      <c r="AC58" s="250">
        <f t="shared" si="166"/>
        <v>0</v>
      </c>
      <c r="AD58" s="250">
        <f t="shared" si="200"/>
        <v>0</v>
      </c>
      <c r="AE58" s="239">
        <f t="shared" si="121"/>
        <v>0</v>
      </c>
      <c r="AF58" s="251">
        <f t="shared" si="167"/>
        <v>0</v>
      </c>
      <c r="AG58" s="251">
        <f t="shared" si="168"/>
        <v>0</v>
      </c>
      <c r="AH58" s="251">
        <f t="shared" si="182"/>
        <v>0</v>
      </c>
      <c r="AI58" s="251">
        <f t="shared" si="169"/>
        <v>0</v>
      </c>
      <c r="AJ58" s="251">
        <f t="shared" si="170"/>
        <v>0</v>
      </c>
      <c r="AK58" s="251">
        <f t="shared" si="183"/>
        <v>0</v>
      </c>
      <c r="AL58" s="245">
        <f t="shared" si="126"/>
        <v>0</v>
      </c>
      <c r="AM58" s="252">
        <f t="shared" si="184"/>
        <v>0</v>
      </c>
      <c r="AN58" s="252">
        <f t="shared" si="171"/>
        <v>0</v>
      </c>
      <c r="AO58" s="252">
        <f t="shared" si="172"/>
        <v>0</v>
      </c>
      <c r="AP58" s="252">
        <f t="shared" si="173"/>
        <v>0</v>
      </c>
      <c r="AQ58" s="252">
        <f t="shared" si="174"/>
        <v>0</v>
      </c>
      <c r="AR58" s="252">
        <f t="shared" si="185"/>
        <v>0</v>
      </c>
      <c r="AS58" s="131"/>
      <c r="AT58" s="131"/>
      <c r="AU58" s="132"/>
      <c r="AV58" s="221" t="s">
        <v>327</v>
      </c>
      <c r="AW58" s="339"/>
      <c r="AX58" s="339"/>
      <c r="AY58" s="347"/>
      <c r="AZ58" s="349"/>
      <c r="BA58" s="131"/>
      <c r="BB58" s="131"/>
      <c r="BC58" s="131"/>
      <c r="BD58" s="131"/>
      <c r="BE58" s="133"/>
      <c r="BF58" s="341"/>
      <c r="BG58" s="342"/>
      <c r="BH58" s="343"/>
      <c r="BI58" s="344"/>
      <c r="BJ58" s="345"/>
      <c r="BK58" s="346"/>
      <c r="BL58" s="135"/>
      <c r="BM58" s="341"/>
      <c r="BN58" s="342"/>
      <c r="BO58" s="343"/>
      <c r="BP58" s="344"/>
      <c r="BQ58" s="345"/>
      <c r="BR58" s="346"/>
      <c r="BS58" s="136"/>
      <c r="BT58" s="341"/>
      <c r="BU58" s="342"/>
      <c r="BV58" s="343"/>
      <c r="BW58" s="344"/>
      <c r="BX58" s="345"/>
      <c r="BY58" s="346"/>
      <c r="BZ58" s="156"/>
      <c r="CA58" s="156"/>
      <c r="CB58" s="156"/>
      <c r="CC58" s="266">
        <f t="shared" si="186"/>
        <v>2050</v>
      </c>
      <c r="CD58" s="267">
        <f t="shared" si="161"/>
        <v>0</v>
      </c>
      <c r="CE58" s="267">
        <f t="shared" si="187"/>
        <v>0</v>
      </c>
      <c r="CF58" s="267">
        <f t="shared" si="188"/>
        <v>0</v>
      </c>
      <c r="CG58" s="267">
        <f t="shared" si="160"/>
        <v>0</v>
      </c>
      <c r="CH58" s="267">
        <f t="shared" si="189"/>
        <v>0</v>
      </c>
      <c r="CI58" s="267">
        <f t="shared" si="190"/>
        <v>0</v>
      </c>
      <c r="CJ58" s="269">
        <f t="shared" si="191"/>
        <v>27.77671141807538</v>
      </c>
      <c r="CK58" s="269">
        <f t="shared" si="192"/>
        <v>3.504981279830554</v>
      </c>
      <c r="CL58" s="270">
        <f t="shared" si="193"/>
        <v>2050</v>
      </c>
      <c r="CM58" s="271">
        <f t="shared" si="175"/>
        <v>0</v>
      </c>
      <c r="CN58" s="271">
        <f t="shared" si="194"/>
        <v>0</v>
      </c>
      <c r="CO58" s="271">
        <f t="shared" si="195"/>
        <v>0</v>
      </c>
      <c r="CP58" s="271">
        <f t="shared" si="176"/>
        <v>0</v>
      </c>
      <c r="CQ58" s="271">
        <f t="shared" si="177"/>
        <v>0</v>
      </c>
      <c r="CR58" s="271">
        <f t="shared" si="178"/>
        <v>0</v>
      </c>
      <c r="CS58" s="271">
        <f t="shared" si="196"/>
        <v>0</v>
      </c>
      <c r="CT58" s="271">
        <f t="shared" si="197"/>
        <v>0</v>
      </c>
      <c r="CU58" s="272">
        <f t="shared" si="198"/>
        <v>2050</v>
      </c>
      <c r="CV58" s="273">
        <f t="shared" si="179"/>
        <v>0</v>
      </c>
      <c r="CW58" s="273">
        <f t="shared" si="180"/>
        <v>0</v>
      </c>
      <c r="CX58" s="273">
        <f t="shared" si="181"/>
        <v>0</v>
      </c>
      <c r="CY58" s="273">
        <f>IF(CT57=0,0,IF(CT58&gt;0,0,IF(AND(SUM(CT$7:CT57)&gt;0,SUM(CT58:CT$100)=0),CB$42,0)))</f>
        <v>0</v>
      </c>
      <c r="CZ58" s="273">
        <f>IF(CT57=0,0,IF(CT58&gt;0,0,IF(AND(SUM(CT$7:CT57)&gt;0,SUM(CT58:CT$100)=0),CB$41,0)))</f>
        <v>0</v>
      </c>
      <c r="DA58" s="273">
        <f>IF(SUM(CT$7:CT$100)=0,0,IF(SUM(CT58:CT$100)=0,CZ58-CY58,CM58-SUM(CN58:CR58)-CY58+CZ58))</f>
        <v>0</v>
      </c>
      <c r="DB58" s="274">
        <f t="shared" si="199"/>
        <v>2050</v>
      </c>
      <c r="DC58" s="275">
        <f t="shared" si="55"/>
        <v>0</v>
      </c>
      <c r="DD58" s="275">
        <f t="shared" si="56"/>
        <v>0</v>
      </c>
      <c r="DE58" s="275">
        <f t="shared" si="57"/>
        <v>0</v>
      </c>
      <c r="DF58" s="275">
        <f t="shared" si="58"/>
        <v>0</v>
      </c>
      <c r="DG58" s="360">
        <f t="shared" si="59"/>
        <v>0</v>
      </c>
      <c r="DH58" s="56"/>
      <c r="DI58" s="56"/>
      <c r="DJ58" s="233"/>
      <c r="DK58" s="233"/>
      <c r="DL58" s="37"/>
      <c r="DM58" s="37"/>
      <c r="DN58" s="37"/>
    </row>
    <row r="59" spans="1:118" ht="15">
      <c r="A59" s="337"/>
      <c r="B59" s="327"/>
      <c r="C59" s="331"/>
      <c r="D59" s="236"/>
      <c r="E59" s="236"/>
      <c r="F59" s="238">
        <f t="shared" si="106"/>
        <v>0</v>
      </c>
      <c r="G59" s="329"/>
      <c r="H59" s="239">
        <f t="shared" si="107"/>
        <v>0</v>
      </c>
      <c r="I59" s="351"/>
      <c r="J59" s="240">
        <f t="shared" si="108"/>
        <v>0</v>
      </c>
      <c r="K59" s="329"/>
      <c r="L59" s="241">
        <f t="shared" si="109"/>
        <v>0</v>
      </c>
      <c r="M59" s="326"/>
      <c r="N59" s="242">
        <f t="shared" si="110"/>
        <v>0</v>
      </c>
      <c r="O59" s="326"/>
      <c r="P59" s="243">
        <f t="shared" si="111"/>
        <v>0</v>
      </c>
      <c r="Q59" s="326"/>
      <c r="R59" s="244">
        <f t="shared" si="112"/>
        <v>0</v>
      </c>
      <c r="S59" s="325"/>
      <c r="T59" s="245">
        <f t="shared" si="113"/>
        <v>0</v>
      </c>
      <c r="U59" s="326"/>
      <c r="V59" s="246">
        <f t="shared" si="114"/>
        <v>0</v>
      </c>
      <c r="W59" s="326"/>
      <c r="X59" s="247">
        <f t="shared" si="115"/>
        <v>0</v>
      </c>
      <c r="Y59" s="248">
        <f t="shared" si="162"/>
        <v>0</v>
      </c>
      <c r="Z59" s="249">
        <f t="shared" si="163"/>
        <v>0</v>
      </c>
      <c r="AA59" s="249">
        <f t="shared" si="164"/>
        <v>0</v>
      </c>
      <c r="AB59" s="250">
        <f t="shared" si="165"/>
        <v>0</v>
      </c>
      <c r="AC59" s="250">
        <f t="shared" si="166"/>
        <v>0</v>
      </c>
      <c r="AD59" s="250">
        <f t="shared" si="200"/>
        <v>0</v>
      </c>
      <c r="AE59" s="239">
        <f t="shared" si="121"/>
        <v>0</v>
      </c>
      <c r="AF59" s="251">
        <f t="shared" si="167"/>
        <v>0</v>
      </c>
      <c r="AG59" s="251">
        <f t="shared" si="168"/>
        <v>0</v>
      </c>
      <c r="AH59" s="251">
        <f t="shared" si="182"/>
        <v>0</v>
      </c>
      <c r="AI59" s="251">
        <f t="shared" si="169"/>
        <v>0</v>
      </c>
      <c r="AJ59" s="251">
        <f t="shared" si="170"/>
        <v>0</v>
      </c>
      <c r="AK59" s="251">
        <f t="shared" si="183"/>
        <v>0</v>
      </c>
      <c r="AL59" s="245">
        <f t="shared" si="126"/>
        <v>0</v>
      </c>
      <c r="AM59" s="252">
        <f t="shared" si="184"/>
        <v>0</v>
      </c>
      <c r="AN59" s="252">
        <f t="shared" si="171"/>
        <v>0</v>
      </c>
      <c r="AO59" s="252">
        <f t="shared" si="172"/>
        <v>0</v>
      </c>
      <c r="AP59" s="252">
        <f t="shared" si="173"/>
        <v>0</v>
      </c>
      <c r="AQ59" s="252">
        <f t="shared" si="174"/>
        <v>0</v>
      </c>
      <c r="AR59" s="252">
        <f t="shared" si="185"/>
        <v>0</v>
      </c>
      <c r="AS59" s="131"/>
      <c r="AT59" s="131"/>
      <c r="AU59" s="132"/>
      <c r="AV59" s="37"/>
      <c r="AW59" s="233"/>
      <c r="AX59" s="233"/>
      <c r="AY59" s="347"/>
      <c r="AZ59" s="349"/>
      <c r="BA59" s="131"/>
      <c r="BB59" s="131"/>
      <c r="BC59" s="131"/>
      <c r="BD59" s="131"/>
      <c r="BE59" s="133"/>
      <c r="BF59" s="341"/>
      <c r="BG59" s="342"/>
      <c r="BH59" s="343"/>
      <c r="BI59" s="344"/>
      <c r="BJ59" s="345"/>
      <c r="BK59" s="346"/>
      <c r="BL59" s="135"/>
      <c r="BM59" s="341"/>
      <c r="BN59" s="342"/>
      <c r="BO59" s="343"/>
      <c r="BP59" s="344"/>
      <c r="BQ59" s="345"/>
      <c r="BR59" s="346"/>
      <c r="BS59" s="136"/>
      <c r="BT59" s="341"/>
      <c r="BU59" s="342"/>
      <c r="BV59" s="343"/>
      <c r="BW59" s="344"/>
      <c r="BX59" s="345"/>
      <c r="BY59" s="346"/>
      <c r="BZ59" s="156"/>
      <c r="CA59" s="156"/>
      <c r="CB59" s="156"/>
      <c r="CC59" s="266">
        <f t="shared" si="186"/>
        <v>2051</v>
      </c>
      <c r="CD59" s="267">
        <f t="shared" si="161"/>
        <v>0</v>
      </c>
      <c r="CE59" s="267">
        <f t="shared" si="187"/>
        <v>0</v>
      </c>
      <c r="CF59" s="267">
        <f t="shared" si="188"/>
        <v>0</v>
      </c>
      <c r="CG59" s="267">
        <f aca="true" t="shared" si="201" ref="CG59:CG74">IF(CB$5&gt;=CB$6,IF(CF59&gt;0,CB$8,IF(AND(CE59=0,CF58&lt;CB$8),CF58,CE59+CF58)),IF(CF59&gt;0,CB$9,IF(AND(CE59=0,CF58&lt;CB$9),CF58,CE59+CF58)))</f>
        <v>0</v>
      </c>
      <c r="CH59" s="267">
        <f t="shared" si="189"/>
        <v>0</v>
      </c>
      <c r="CI59" s="267">
        <f t="shared" si="190"/>
        <v>0</v>
      </c>
      <c r="CJ59" s="269">
        <f t="shared" si="191"/>
        <v>27.971148398001908</v>
      </c>
      <c r="CK59" s="269">
        <f t="shared" si="192"/>
        <v>3.5260111675095374</v>
      </c>
      <c r="CL59" s="270">
        <f t="shared" si="193"/>
        <v>2051</v>
      </c>
      <c r="CM59" s="271">
        <f t="shared" si="175"/>
        <v>0</v>
      </c>
      <c r="CN59" s="271">
        <f t="shared" si="194"/>
        <v>0</v>
      </c>
      <c r="CO59" s="271">
        <f t="shared" si="195"/>
        <v>0</v>
      </c>
      <c r="CP59" s="271">
        <f t="shared" si="176"/>
        <v>0</v>
      </c>
      <c r="CQ59" s="271">
        <f t="shared" si="177"/>
        <v>0</v>
      </c>
      <c r="CR59" s="271">
        <f t="shared" si="178"/>
        <v>0</v>
      </c>
      <c r="CS59" s="271">
        <f t="shared" si="196"/>
        <v>0</v>
      </c>
      <c r="CT59" s="271">
        <f t="shared" si="197"/>
        <v>0</v>
      </c>
      <c r="CU59" s="272">
        <f t="shared" si="198"/>
        <v>2051</v>
      </c>
      <c r="CV59" s="273">
        <f t="shared" si="179"/>
        <v>0</v>
      </c>
      <c r="CW59" s="273">
        <f t="shared" si="180"/>
        <v>0</v>
      </c>
      <c r="CX59" s="273">
        <f t="shared" si="181"/>
        <v>0</v>
      </c>
      <c r="CY59" s="273">
        <f>IF(CT58=0,0,IF(CT59&gt;0,0,IF(AND(SUM(CT$7:CT58)&gt;0,SUM(CT59:CT$100)=0),CB$42,0)))</f>
        <v>0</v>
      </c>
      <c r="CZ59" s="273">
        <f>IF(CT58=0,0,IF(CT59&gt;0,0,IF(AND(SUM(CT$7:CT58)&gt;0,SUM(CT59:CT$100)=0),CB$41,0)))</f>
        <v>0</v>
      </c>
      <c r="DA59" s="273">
        <f>IF(SUM(CT$7:CT$100)=0,0,IF(SUM(CT59:CT$100)=0,CZ59-CY59,CM59-SUM(CN59:CR59)-CY59+CZ59))</f>
        <v>0</v>
      </c>
      <c r="DB59" s="274">
        <f t="shared" si="199"/>
        <v>2051</v>
      </c>
      <c r="DC59" s="275">
        <f t="shared" si="55"/>
        <v>0</v>
      </c>
      <c r="DD59" s="275">
        <f t="shared" si="56"/>
        <v>0</v>
      </c>
      <c r="DE59" s="275">
        <f t="shared" si="57"/>
        <v>0</v>
      </c>
      <c r="DF59" s="275">
        <f t="shared" si="58"/>
        <v>0</v>
      </c>
      <c r="DG59" s="360">
        <f t="shared" si="59"/>
        <v>0</v>
      </c>
      <c r="DH59" s="56"/>
      <c r="DI59" s="56"/>
      <c r="DJ59" s="233"/>
      <c r="DK59" s="233"/>
      <c r="DL59" s="37"/>
      <c r="DM59" s="37"/>
      <c r="DN59" s="37"/>
    </row>
    <row r="60" spans="1:118" ht="15">
      <c r="A60" s="206"/>
      <c r="B60" s="9"/>
      <c r="C60" s="331"/>
      <c r="D60" s="236"/>
      <c r="E60" s="236"/>
      <c r="F60" s="238">
        <f t="shared" si="106"/>
        <v>0</v>
      </c>
      <c r="G60" s="329"/>
      <c r="H60" s="239">
        <f t="shared" si="107"/>
        <v>0</v>
      </c>
      <c r="I60" s="351"/>
      <c r="J60" s="240">
        <f t="shared" si="108"/>
        <v>0</v>
      </c>
      <c r="K60" s="329"/>
      <c r="L60" s="241">
        <f t="shared" si="109"/>
        <v>0</v>
      </c>
      <c r="M60" s="326"/>
      <c r="N60" s="242">
        <f t="shared" si="110"/>
        <v>0</v>
      </c>
      <c r="O60" s="326"/>
      <c r="P60" s="243">
        <f t="shared" si="111"/>
        <v>0</v>
      </c>
      <c r="Q60" s="326"/>
      <c r="R60" s="244">
        <f t="shared" si="112"/>
        <v>0</v>
      </c>
      <c r="S60" s="325"/>
      <c r="T60" s="245">
        <f t="shared" si="113"/>
        <v>0</v>
      </c>
      <c r="U60" s="326"/>
      <c r="V60" s="246">
        <f t="shared" si="114"/>
        <v>0</v>
      </c>
      <c r="W60" s="326"/>
      <c r="X60" s="247">
        <f t="shared" si="115"/>
        <v>0</v>
      </c>
      <c r="Y60" s="248">
        <f t="shared" si="162"/>
        <v>0</v>
      </c>
      <c r="Z60" s="249">
        <f t="shared" si="163"/>
        <v>0</v>
      </c>
      <c r="AA60" s="249">
        <f t="shared" si="164"/>
        <v>0</v>
      </c>
      <c r="AB60" s="250">
        <f t="shared" si="165"/>
        <v>0</v>
      </c>
      <c r="AC60" s="250">
        <f t="shared" si="166"/>
        <v>0</v>
      </c>
      <c r="AD60" s="250">
        <f t="shared" si="200"/>
        <v>0</v>
      </c>
      <c r="AE60" s="239">
        <f t="shared" si="121"/>
        <v>0</v>
      </c>
      <c r="AF60" s="251">
        <f t="shared" si="167"/>
        <v>0</v>
      </c>
      <c r="AG60" s="251">
        <f t="shared" si="168"/>
        <v>0</v>
      </c>
      <c r="AH60" s="251">
        <f t="shared" si="182"/>
        <v>0</v>
      </c>
      <c r="AI60" s="251">
        <f t="shared" si="169"/>
        <v>0</v>
      </c>
      <c r="AJ60" s="251">
        <f t="shared" si="170"/>
        <v>0</v>
      </c>
      <c r="AK60" s="251">
        <f t="shared" si="183"/>
        <v>0</v>
      </c>
      <c r="AL60" s="245">
        <f t="shared" si="126"/>
        <v>0</v>
      </c>
      <c r="AM60" s="252">
        <f t="shared" si="184"/>
        <v>0</v>
      </c>
      <c r="AN60" s="252">
        <f t="shared" si="171"/>
        <v>0</v>
      </c>
      <c r="AO60" s="252">
        <f t="shared" si="172"/>
        <v>0</v>
      </c>
      <c r="AP60" s="252">
        <f t="shared" si="173"/>
        <v>0</v>
      </c>
      <c r="AQ60" s="252">
        <f t="shared" si="174"/>
        <v>0</v>
      </c>
      <c r="AR60" s="252">
        <f t="shared" si="185"/>
        <v>0</v>
      </c>
      <c r="AS60" s="131"/>
      <c r="AT60" s="131"/>
      <c r="AU60" s="132"/>
      <c r="AV60" s="410" t="s">
        <v>328</v>
      </c>
      <c r="AW60" s="460">
        <v>30.063493918427696</v>
      </c>
      <c r="AX60" s="233"/>
      <c r="AY60" s="347"/>
      <c r="AZ60" s="349"/>
      <c r="BA60" s="131"/>
      <c r="BB60" s="131"/>
      <c r="BC60" s="131"/>
      <c r="BD60" s="131"/>
      <c r="BE60" s="133"/>
      <c r="BF60" s="341"/>
      <c r="BG60" s="342"/>
      <c r="BH60" s="343"/>
      <c r="BI60" s="344"/>
      <c r="BJ60" s="345"/>
      <c r="BK60" s="346"/>
      <c r="BL60" s="135"/>
      <c r="BM60" s="341"/>
      <c r="BN60" s="342"/>
      <c r="BO60" s="343"/>
      <c r="BP60" s="344"/>
      <c r="BQ60" s="345"/>
      <c r="BR60" s="346"/>
      <c r="BS60" s="136"/>
      <c r="BT60" s="341"/>
      <c r="BU60" s="342"/>
      <c r="BV60" s="343"/>
      <c r="BW60" s="344"/>
      <c r="BX60" s="345"/>
      <c r="BY60" s="346"/>
      <c r="BZ60" s="156"/>
      <c r="CA60" s="156"/>
      <c r="CB60" s="156"/>
      <c r="CC60" s="266">
        <f t="shared" si="186"/>
        <v>2052</v>
      </c>
      <c r="CD60" s="267">
        <f aca="true" t="shared" si="202" ref="CD60:CD75">IF(CB$12&lt;AW$36,BK60,IF(CB$12&lt;AW$38,BR60,BY60))</f>
        <v>0</v>
      </c>
      <c r="CE60" s="267">
        <f t="shared" si="187"/>
        <v>0</v>
      </c>
      <c r="CF60" s="267">
        <f t="shared" si="188"/>
        <v>0</v>
      </c>
      <c r="CG60" s="267">
        <f t="shared" si="201"/>
        <v>0</v>
      </c>
      <c r="CH60" s="267">
        <f t="shared" si="189"/>
        <v>0</v>
      </c>
      <c r="CI60" s="267">
        <f t="shared" si="190"/>
        <v>0</v>
      </c>
      <c r="CJ60" s="269">
        <f t="shared" si="191"/>
        <v>28.166946436787914</v>
      </c>
      <c r="CK60" s="269">
        <f t="shared" si="192"/>
        <v>3.5471672345145944</v>
      </c>
      <c r="CL60" s="270">
        <f t="shared" si="193"/>
        <v>2052</v>
      </c>
      <c r="CM60" s="271">
        <f t="shared" si="175"/>
        <v>0</v>
      </c>
      <c r="CN60" s="271">
        <f t="shared" si="194"/>
        <v>0</v>
      </c>
      <c r="CO60" s="271">
        <f t="shared" si="195"/>
        <v>0</v>
      </c>
      <c r="CP60" s="271">
        <f t="shared" si="176"/>
        <v>0</v>
      </c>
      <c r="CQ60" s="271">
        <f t="shared" si="177"/>
        <v>0</v>
      </c>
      <c r="CR60" s="271">
        <f t="shared" si="178"/>
        <v>0</v>
      </c>
      <c r="CS60" s="271">
        <f t="shared" si="196"/>
        <v>0</v>
      </c>
      <c r="CT60" s="271">
        <f t="shared" si="197"/>
        <v>0</v>
      </c>
      <c r="CU60" s="272">
        <f t="shared" si="198"/>
        <v>2052</v>
      </c>
      <c r="CV60" s="273">
        <f t="shared" si="179"/>
        <v>0</v>
      </c>
      <c r="CW60" s="273">
        <f t="shared" si="180"/>
        <v>0</v>
      </c>
      <c r="CX60" s="273">
        <f t="shared" si="181"/>
        <v>0</v>
      </c>
      <c r="CY60" s="273">
        <f>IF(CT59=0,0,IF(CT60&gt;0,0,IF(AND(SUM(CT$7:CT59)&gt;0,SUM(CT60:CT$100)=0),CB$42,0)))</f>
        <v>0</v>
      </c>
      <c r="CZ60" s="273">
        <f>IF(CT59=0,0,IF(CT60&gt;0,0,IF(AND(SUM(CT$7:CT59)&gt;0,SUM(CT60:CT$100)=0),CB$41,0)))</f>
        <v>0</v>
      </c>
      <c r="DA60" s="273">
        <f>IF(SUM(CT$7:CT$100)=0,0,IF(SUM(CT60:CT$100)=0,CZ60-CY60,CM60-SUM(CN60:CR60)-CY60+CZ60))</f>
        <v>0</v>
      </c>
      <c r="DB60" s="274">
        <f t="shared" si="199"/>
        <v>2052</v>
      </c>
      <c r="DC60" s="275">
        <f t="shared" si="55"/>
        <v>0</v>
      </c>
      <c r="DD60" s="275">
        <f t="shared" si="56"/>
        <v>0</v>
      </c>
      <c r="DE60" s="275">
        <f t="shared" si="57"/>
        <v>0</v>
      </c>
      <c r="DF60" s="275">
        <f t="shared" si="58"/>
        <v>0</v>
      </c>
      <c r="DG60" s="360">
        <f t="shared" si="59"/>
        <v>0</v>
      </c>
      <c r="DH60" s="56"/>
      <c r="DI60" s="56"/>
      <c r="DJ60" s="233"/>
      <c r="DK60" s="233"/>
      <c r="DL60" s="37"/>
      <c r="DM60" s="37"/>
      <c r="DN60" s="37"/>
    </row>
    <row r="61" spans="1:118" ht="15">
      <c r="A61" s="206"/>
      <c r="B61" s="9"/>
      <c r="C61" s="9"/>
      <c r="D61" s="236"/>
      <c r="E61" s="236"/>
      <c r="F61" s="238">
        <f t="shared" si="106"/>
        <v>0</v>
      </c>
      <c r="G61" s="329"/>
      <c r="H61" s="239">
        <f t="shared" si="107"/>
        <v>0</v>
      </c>
      <c r="I61" s="351"/>
      <c r="J61" s="240">
        <f t="shared" si="108"/>
        <v>0</v>
      </c>
      <c r="K61" s="329"/>
      <c r="L61" s="241">
        <f t="shared" si="109"/>
        <v>0</v>
      </c>
      <c r="M61" s="326"/>
      <c r="N61" s="242">
        <f t="shared" si="110"/>
        <v>0</v>
      </c>
      <c r="O61" s="326"/>
      <c r="P61" s="243">
        <f t="shared" si="111"/>
        <v>0</v>
      </c>
      <c r="Q61" s="326"/>
      <c r="R61" s="244">
        <f t="shared" si="112"/>
        <v>0</v>
      </c>
      <c r="S61" s="325"/>
      <c r="T61" s="245">
        <f t="shared" si="113"/>
        <v>0</v>
      </c>
      <c r="U61" s="326"/>
      <c r="V61" s="246">
        <f t="shared" si="114"/>
        <v>0</v>
      </c>
      <c r="W61" s="326"/>
      <c r="X61" s="247">
        <f t="shared" si="115"/>
        <v>0</v>
      </c>
      <c r="Y61" s="248">
        <f t="shared" si="162"/>
        <v>0</v>
      </c>
      <c r="Z61" s="249">
        <f t="shared" si="163"/>
        <v>0</v>
      </c>
      <c r="AA61" s="249">
        <f t="shared" si="164"/>
        <v>0</v>
      </c>
      <c r="AB61" s="250">
        <f t="shared" si="165"/>
        <v>0</v>
      </c>
      <c r="AC61" s="250">
        <f t="shared" si="166"/>
        <v>0</v>
      </c>
      <c r="AD61" s="250">
        <f t="shared" si="200"/>
        <v>0</v>
      </c>
      <c r="AE61" s="239">
        <f t="shared" si="121"/>
        <v>0</v>
      </c>
      <c r="AF61" s="251">
        <f t="shared" si="167"/>
        <v>0</v>
      </c>
      <c r="AG61" s="251">
        <f t="shared" si="168"/>
        <v>0</v>
      </c>
      <c r="AH61" s="251">
        <f t="shared" si="182"/>
        <v>0</v>
      </c>
      <c r="AI61" s="251">
        <f t="shared" si="169"/>
        <v>0</v>
      </c>
      <c r="AJ61" s="251">
        <f t="shared" si="170"/>
        <v>0</v>
      </c>
      <c r="AK61" s="251">
        <f t="shared" si="183"/>
        <v>0</v>
      </c>
      <c r="AL61" s="245">
        <f t="shared" si="126"/>
        <v>0</v>
      </c>
      <c r="AM61" s="252">
        <f t="shared" si="184"/>
        <v>0</v>
      </c>
      <c r="AN61" s="252">
        <f t="shared" si="171"/>
        <v>0</v>
      </c>
      <c r="AO61" s="252">
        <f t="shared" si="172"/>
        <v>0</v>
      </c>
      <c r="AP61" s="252">
        <f t="shared" si="173"/>
        <v>0</v>
      </c>
      <c r="AQ61" s="252">
        <f t="shared" si="174"/>
        <v>0</v>
      </c>
      <c r="AR61" s="252">
        <f t="shared" si="185"/>
        <v>0</v>
      </c>
      <c r="AS61" s="131"/>
      <c r="AT61" s="131"/>
      <c r="AU61" s="132"/>
      <c r="AV61" s="411"/>
      <c r="AW61" s="353"/>
      <c r="AX61" s="233"/>
      <c r="AY61" s="347"/>
      <c r="AZ61" s="349"/>
      <c r="BA61" s="131"/>
      <c r="BB61" s="131"/>
      <c r="BC61" s="131"/>
      <c r="BD61" s="131"/>
      <c r="BE61" s="133"/>
      <c r="BF61" s="341"/>
      <c r="BG61" s="342"/>
      <c r="BH61" s="343"/>
      <c r="BI61" s="344"/>
      <c r="BJ61" s="345"/>
      <c r="BK61" s="346"/>
      <c r="BL61" s="135"/>
      <c r="BM61" s="341"/>
      <c r="BN61" s="342"/>
      <c r="BO61" s="343"/>
      <c r="BP61" s="344"/>
      <c r="BQ61" s="345"/>
      <c r="BR61" s="346"/>
      <c r="BS61" s="136"/>
      <c r="BT61" s="341"/>
      <c r="BU61" s="342"/>
      <c r="BV61" s="343"/>
      <c r="BW61" s="344"/>
      <c r="BX61" s="345"/>
      <c r="BY61" s="346"/>
      <c r="BZ61" s="156"/>
      <c r="CA61" s="156"/>
      <c r="CB61" s="156"/>
      <c r="CC61" s="266">
        <f t="shared" si="186"/>
        <v>2053</v>
      </c>
      <c r="CD61" s="267">
        <f t="shared" si="202"/>
        <v>0</v>
      </c>
      <c r="CE61" s="267">
        <f t="shared" si="187"/>
        <v>0</v>
      </c>
      <c r="CF61" s="267">
        <f t="shared" si="188"/>
        <v>0</v>
      </c>
      <c r="CG61" s="267">
        <f t="shared" si="201"/>
        <v>0</v>
      </c>
      <c r="CH61" s="267">
        <f t="shared" si="189"/>
        <v>0</v>
      </c>
      <c r="CI61" s="267">
        <f t="shared" si="190"/>
        <v>0</v>
      </c>
      <c r="CJ61" s="269">
        <f t="shared" si="191"/>
        <v>28.364115061845425</v>
      </c>
      <c r="CK61" s="269">
        <f t="shared" si="192"/>
        <v>3.5684502379216823</v>
      </c>
      <c r="CL61" s="270">
        <f t="shared" si="193"/>
        <v>2053</v>
      </c>
      <c r="CM61" s="271">
        <f t="shared" si="175"/>
        <v>0</v>
      </c>
      <c r="CN61" s="271">
        <f t="shared" si="194"/>
        <v>0</v>
      </c>
      <c r="CO61" s="271">
        <f t="shared" si="195"/>
        <v>0</v>
      </c>
      <c r="CP61" s="271">
        <f t="shared" si="176"/>
        <v>0</v>
      </c>
      <c r="CQ61" s="271">
        <f t="shared" si="177"/>
        <v>0</v>
      </c>
      <c r="CR61" s="271">
        <f t="shared" si="178"/>
        <v>0</v>
      </c>
      <c r="CS61" s="271">
        <f t="shared" si="196"/>
        <v>0</v>
      </c>
      <c r="CT61" s="271">
        <f t="shared" si="197"/>
        <v>0</v>
      </c>
      <c r="CU61" s="272">
        <f t="shared" si="198"/>
        <v>2053</v>
      </c>
      <c r="CV61" s="273">
        <f t="shared" si="179"/>
        <v>0</v>
      </c>
      <c r="CW61" s="273">
        <f t="shared" si="180"/>
        <v>0</v>
      </c>
      <c r="CX61" s="273">
        <f t="shared" si="181"/>
        <v>0</v>
      </c>
      <c r="CY61" s="273">
        <f>IF(CT60=0,0,IF(CT61&gt;0,0,IF(AND(SUM(CT$7:CT60)&gt;0,SUM(CT61:CT$100)=0),CB$42,0)))</f>
        <v>0</v>
      </c>
      <c r="CZ61" s="273">
        <f>IF(CT60=0,0,IF(CT61&gt;0,0,IF(AND(SUM(CT$7:CT60)&gt;0,SUM(CT61:CT$100)=0),CB$41,0)))</f>
        <v>0</v>
      </c>
      <c r="DA61" s="273">
        <f>IF(SUM(CT$7:CT$100)=0,0,IF(SUM(CT61:CT$100)=0,CZ61-CY61,CM61-SUM(CN61:CR61)-CY61+CZ61))</f>
        <v>0</v>
      </c>
      <c r="DB61" s="274">
        <f t="shared" si="199"/>
        <v>2053</v>
      </c>
      <c r="DC61" s="275">
        <f t="shared" si="55"/>
        <v>0</v>
      </c>
      <c r="DD61" s="275">
        <f t="shared" si="56"/>
        <v>0</v>
      </c>
      <c r="DE61" s="275">
        <f t="shared" si="57"/>
        <v>0</v>
      </c>
      <c r="DF61" s="275">
        <f t="shared" si="58"/>
        <v>0</v>
      </c>
      <c r="DG61" s="360">
        <f t="shared" si="59"/>
        <v>0</v>
      </c>
      <c r="DH61" s="56"/>
      <c r="DI61" s="56"/>
      <c r="DJ61" s="233"/>
      <c r="DK61" s="233"/>
      <c r="DL61" s="37"/>
      <c r="DM61" s="37"/>
      <c r="DN61" s="37"/>
    </row>
    <row r="62" spans="1:118" ht="15">
      <c r="A62" s="206"/>
      <c r="B62" s="9"/>
      <c r="C62" s="9"/>
      <c r="D62" s="236"/>
      <c r="E62" s="236"/>
      <c r="F62" s="238">
        <f t="shared" si="106"/>
        <v>0</v>
      </c>
      <c r="G62" s="329"/>
      <c r="H62" s="239">
        <f t="shared" si="107"/>
        <v>0</v>
      </c>
      <c r="I62" s="351"/>
      <c r="J62" s="240">
        <f t="shared" si="108"/>
        <v>0</v>
      </c>
      <c r="K62" s="329"/>
      <c r="L62" s="241">
        <f t="shared" si="109"/>
        <v>0</v>
      </c>
      <c r="M62" s="326"/>
      <c r="N62" s="242">
        <f t="shared" si="110"/>
        <v>0</v>
      </c>
      <c r="O62" s="326"/>
      <c r="P62" s="243">
        <f t="shared" si="111"/>
        <v>0</v>
      </c>
      <c r="Q62" s="326"/>
      <c r="R62" s="244">
        <f t="shared" si="112"/>
        <v>0</v>
      </c>
      <c r="S62" s="325"/>
      <c r="T62" s="245">
        <f t="shared" si="113"/>
        <v>0</v>
      </c>
      <c r="U62" s="326"/>
      <c r="V62" s="246">
        <f t="shared" si="114"/>
        <v>0</v>
      </c>
      <c r="W62" s="326"/>
      <c r="X62" s="247">
        <f t="shared" si="115"/>
        <v>0</v>
      </c>
      <c r="Y62" s="248">
        <f t="shared" si="162"/>
        <v>0</v>
      </c>
      <c r="Z62" s="249">
        <f t="shared" si="163"/>
        <v>0</v>
      </c>
      <c r="AA62" s="249">
        <f t="shared" si="164"/>
        <v>0</v>
      </c>
      <c r="AB62" s="250">
        <f t="shared" si="165"/>
        <v>0</v>
      </c>
      <c r="AC62" s="250">
        <f t="shared" si="166"/>
        <v>0</v>
      </c>
      <c r="AD62" s="250">
        <f t="shared" si="200"/>
        <v>0</v>
      </c>
      <c r="AE62" s="239">
        <f t="shared" si="121"/>
        <v>0</v>
      </c>
      <c r="AF62" s="251">
        <f t="shared" si="167"/>
        <v>0</v>
      </c>
      <c r="AG62" s="251">
        <f t="shared" si="168"/>
        <v>0</v>
      </c>
      <c r="AH62" s="251">
        <f t="shared" si="182"/>
        <v>0</v>
      </c>
      <c r="AI62" s="251">
        <f t="shared" si="169"/>
        <v>0</v>
      </c>
      <c r="AJ62" s="251">
        <f t="shared" si="170"/>
        <v>0</v>
      </c>
      <c r="AK62" s="251">
        <f t="shared" si="183"/>
        <v>0</v>
      </c>
      <c r="AL62" s="245">
        <f t="shared" si="126"/>
        <v>0</v>
      </c>
      <c r="AM62" s="252">
        <f t="shared" si="184"/>
        <v>0</v>
      </c>
      <c r="AN62" s="252">
        <f t="shared" si="171"/>
        <v>0</v>
      </c>
      <c r="AO62" s="252">
        <f t="shared" si="172"/>
        <v>0</v>
      </c>
      <c r="AP62" s="252">
        <f t="shared" si="173"/>
        <v>0</v>
      </c>
      <c r="AQ62" s="252">
        <f t="shared" si="174"/>
        <v>0</v>
      </c>
      <c r="AR62" s="252">
        <f t="shared" si="185"/>
        <v>0</v>
      </c>
      <c r="AS62" s="131"/>
      <c r="AT62" s="131"/>
      <c r="AU62" s="132"/>
      <c r="AV62" s="410" t="s">
        <v>329</v>
      </c>
      <c r="AW62" s="461">
        <v>1005.4715843178908</v>
      </c>
      <c r="AX62" s="233"/>
      <c r="AY62" s="347"/>
      <c r="AZ62" s="349"/>
      <c r="BA62" s="130"/>
      <c r="BB62" s="130"/>
      <c r="BC62" s="130"/>
      <c r="BD62" s="130"/>
      <c r="BE62" s="133"/>
      <c r="BF62" s="341"/>
      <c r="BG62" s="342"/>
      <c r="BH62" s="343"/>
      <c r="BI62" s="344"/>
      <c r="BJ62" s="345"/>
      <c r="BK62" s="346"/>
      <c r="BL62" s="135"/>
      <c r="BM62" s="341"/>
      <c r="BN62" s="342"/>
      <c r="BO62" s="343"/>
      <c r="BP62" s="344"/>
      <c r="BQ62" s="345"/>
      <c r="BR62" s="346"/>
      <c r="BS62" s="136"/>
      <c r="BT62" s="341"/>
      <c r="BU62" s="342"/>
      <c r="BV62" s="343"/>
      <c r="BW62" s="344"/>
      <c r="BX62" s="345"/>
      <c r="BY62" s="346"/>
      <c r="BZ62" s="156"/>
      <c r="CA62" s="156"/>
      <c r="CB62" s="156"/>
      <c r="CC62" s="266">
        <f t="shared" si="186"/>
        <v>2054</v>
      </c>
      <c r="CD62" s="267">
        <f t="shared" si="202"/>
        <v>0</v>
      </c>
      <c r="CE62" s="267">
        <f t="shared" si="187"/>
        <v>0</v>
      </c>
      <c r="CF62" s="267">
        <f t="shared" si="188"/>
        <v>0</v>
      </c>
      <c r="CG62" s="267">
        <f t="shared" si="201"/>
        <v>0</v>
      </c>
      <c r="CH62" s="267">
        <f t="shared" si="189"/>
        <v>0</v>
      </c>
      <c r="CI62" s="267">
        <f t="shared" si="190"/>
        <v>0</v>
      </c>
      <c r="CJ62" s="269">
        <f t="shared" si="191"/>
        <v>28.562663867278342</v>
      </c>
      <c r="CK62" s="269">
        <f t="shared" si="192"/>
        <v>3.589860939349213</v>
      </c>
      <c r="CL62" s="270">
        <f t="shared" si="193"/>
        <v>2054</v>
      </c>
      <c r="CM62" s="271">
        <f t="shared" si="175"/>
        <v>0</v>
      </c>
      <c r="CN62" s="271">
        <f t="shared" si="194"/>
        <v>0</v>
      </c>
      <c r="CO62" s="271">
        <f t="shared" si="195"/>
        <v>0</v>
      </c>
      <c r="CP62" s="271">
        <f t="shared" si="176"/>
        <v>0</v>
      </c>
      <c r="CQ62" s="271">
        <f t="shared" si="177"/>
        <v>0</v>
      </c>
      <c r="CR62" s="271">
        <f t="shared" si="178"/>
        <v>0</v>
      </c>
      <c r="CS62" s="271">
        <f t="shared" si="196"/>
        <v>0</v>
      </c>
      <c r="CT62" s="271">
        <f t="shared" si="197"/>
        <v>0</v>
      </c>
      <c r="CU62" s="272">
        <f t="shared" si="198"/>
        <v>2054</v>
      </c>
      <c r="CV62" s="273">
        <f t="shared" si="179"/>
        <v>0</v>
      </c>
      <c r="CW62" s="273">
        <f t="shared" si="180"/>
        <v>0</v>
      </c>
      <c r="CX62" s="273">
        <f t="shared" si="181"/>
        <v>0</v>
      </c>
      <c r="CY62" s="273">
        <f>IF(CT61=0,0,IF(CT62&gt;0,0,IF(AND(SUM(CT$7:CT61)&gt;0,SUM(CT62:CT$100)=0),CB$42,0)))</f>
        <v>0</v>
      </c>
      <c r="CZ62" s="273">
        <f>IF(CT61=0,0,IF(CT62&gt;0,0,IF(AND(SUM(CT$7:CT61)&gt;0,SUM(CT62:CT$100)=0),CB$41,0)))</f>
        <v>0</v>
      </c>
      <c r="DA62" s="273">
        <f>IF(SUM(CT$7:CT$100)=0,0,IF(SUM(CT62:CT$100)=0,CZ62-CY62,CM62-SUM(CN62:CR62)-CY62+CZ62))</f>
        <v>0</v>
      </c>
      <c r="DB62" s="274">
        <f t="shared" si="199"/>
        <v>2054</v>
      </c>
      <c r="DC62" s="275">
        <f t="shared" si="55"/>
        <v>0</v>
      </c>
      <c r="DD62" s="275">
        <f t="shared" si="56"/>
        <v>0</v>
      </c>
      <c r="DE62" s="275">
        <f t="shared" si="57"/>
        <v>0</v>
      </c>
      <c r="DF62" s="275">
        <f t="shared" si="58"/>
        <v>0</v>
      </c>
      <c r="DG62" s="360">
        <f t="shared" si="59"/>
        <v>0</v>
      </c>
      <c r="DH62" s="56"/>
      <c r="DI62" s="56"/>
      <c r="DJ62" s="233"/>
      <c r="DK62" s="233"/>
      <c r="DL62" s="37"/>
      <c r="DM62" s="37"/>
      <c r="DN62" s="37"/>
    </row>
    <row r="63" spans="1:118" ht="15">
      <c r="A63" s="206"/>
      <c r="B63" s="9"/>
      <c r="C63" s="9"/>
      <c r="D63" s="236"/>
      <c r="E63" s="236"/>
      <c r="F63" s="238">
        <f t="shared" si="106"/>
        <v>0</v>
      </c>
      <c r="G63" s="329"/>
      <c r="H63" s="239">
        <f t="shared" si="107"/>
        <v>0</v>
      </c>
      <c r="I63" s="351"/>
      <c r="J63" s="240">
        <f t="shared" si="108"/>
        <v>0</v>
      </c>
      <c r="K63" s="329"/>
      <c r="L63" s="241">
        <f t="shared" si="109"/>
        <v>0</v>
      </c>
      <c r="M63" s="326"/>
      <c r="N63" s="242">
        <f t="shared" si="110"/>
        <v>0</v>
      </c>
      <c r="O63" s="326"/>
      <c r="P63" s="243">
        <f t="shared" si="111"/>
        <v>0</v>
      </c>
      <c r="Q63" s="326"/>
      <c r="R63" s="244">
        <f t="shared" si="112"/>
        <v>0</v>
      </c>
      <c r="S63" s="325"/>
      <c r="T63" s="245">
        <f t="shared" si="113"/>
        <v>0</v>
      </c>
      <c r="U63" s="326"/>
      <c r="V63" s="246">
        <f t="shared" si="114"/>
        <v>0</v>
      </c>
      <c r="W63" s="326"/>
      <c r="X63" s="247">
        <f t="shared" si="115"/>
        <v>0</v>
      </c>
      <c r="Y63" s="248">
        <f t="shared" si="162"/>
        <v>0</v>
      </c>
      <c r="Z63" s="249">
        <f t="shared" si="163"/>
        <v>0</v>
      </c>
      <c r="AA63" s="249">
        <f t="shared" si="164"/>
        <v>0</v>
      </c>
      <c r="AB63" s="250">
        <f t="shared" si="165"/>
        <v>0</v>
      </c>
      <c r="AC63" s="250">
        <f t="shared" si="166"/>
        <v>0</v>
      </c>
      <c r="AD63" s="250">
        <f t="shared" si="200"/>
        <v>0</v>
      </c>
      <c r="AE63" s="239">
        <f t="shared" si="121"/>
        <v>0</v>
      </c>
      <c r="AF63" s="251">
        <f t="shared" si="167"/>
        <v>0</v>
      </c>
      <c r="AG63" s="251">
        <f t="shared" si="168"/>
        <v>0</v>
      </c>
      <c r="AH63" s="251">
        <f t="shared" si="182"/>
        <v>0</v>
      </c>
      <c r="AI63" s="251">
        <f t="shared" si="169"/>
        <v>0</v>
      </c>
      <c r="AJ63" s="251">
        <f t="shared" si="170"/>
        <v>0</v>
      </c>
      <c r="AK63" s="251">
        <f t="shared" si="183"/>
        <v>0</v>
      </c>
      <c r="AL63" s="245">
        <f t="shared" si="126"/>
        <v>0</v>
      </c>
      <c r="AM63" s="252">
        <f t="shared" si="184"/>
        <v>0</v>
      </c>
      <c r="AN63" s="252">
        <f t="shared" si="171"/>
        <v>0</v>
      </c>
      <c r="AO63" s="252">
        <f t="shared" si="172"/>
        <v>0</v>
      </c>
      <c r="AP63" s="252">
        <f t="shared" si="173"/>
        <v>0</v>
      </c>
      <c r="AQ63" s="252">
        <f t="shared" si="174"/>
        <v>0</v>
      </c>
      <c r="AR63" s="252">
        <f t="shared" si="185"/>
        <v>0</v>
      </c>
      <c r="AS63" s="131"/>
      <c r="AT63" s="131"/>
      <c r="AU63" s="132"/>
      <c r="AV63" s="37"/>
      <c r="AW63" s="37"/>
      <c r="AX63" s="37"/>
      <c r="AY63" s="347"/>
      <c r="AZ63" s="349"/>
      <c r="BA63" s="131"/>
      <c r="BB63" s="131"/>
      <c r="BC63" s="131"/>
      <c r="BD63" s="131"/>
      <c r="BE63" s="133"/>
      <c r="BF63" s="341"/>
      <c r="BG63" s="342"/>
      <c r="BH63" s="343"/>
      <c r="BI63" s="344"/>
      <c r="BJ63" s="345"/>
      <c r="BK63" s="346"/>
      <c r="BL63" s="135"/>
      <c r="BM63" s="341"/>
      <c r="BN63" s="342"/>
      <c r="BO63" s="343"/>
      <c r="BP63" s="344"/>
      <c r="BQ63" s="345"/>
      <c r="BR63" s="346"/>
      <c r="BS63" s="136"/>
      <c r="BT63" s="341"/>
      <c r="BU63" s="342"/>
      <c r="BV63" s="343"/>
      <c r="BW63" s="344"/>
      <c r="BX63" s="345"/>
      <c r="BY63" s="346"/>
      <c r="BZ63" s="156"/>
      <c r="CA63" s="156"/>
      <c r="CB63" s="156"/>
      <c r="CC63" s="266">
        <f t="shared" si="186"/>
        <v>2055</v>
      </c>
      <c r="CD63" s="267">
        <f t="shared" si="202"/>
        <v>0</v>
      </c>
      <c r="CE63" s="267">
        <f t="shared" si="187"/>
        <v>0</v>
      </c>
      <c r="CF63" s="267">
        <f t="shared" si="188"/>
        <v>0</v>
      </c>
      <c r="CG63" s="267">
        <f t="shared" si="201"/>
        <v>0</v>
      </c>
      <c r="CH63" s="267">
        <f t="shared" si="189"/>
        <v>0</v>
      </c>
      <c r="CI63" s="267">
        <f t="shared" si="190"/>
        <v>0</v>
      </c>
      <c r="CJ63" s="269">
        <f t="shared" si="191"/>
        <v>28.76260251434929</v>
      </c>
      <c r="CK63" s="269">
        <f t="shared" si="192"/>
        <v>3.6114001049853073</v>
      </c>
      <c r="CL63" s="270">
        <f t="shared" si="193"/>
        <v>2055</v>
      </c>
      <c r="CM63" s="271">
        <f t="shared" si="175"/>
        <v>0</v>
      </c>
      <c r="CN63" s="271">
        <f t="shared" si="194"/>
        <v>0</v>
      </c>
      <c r="CO63" s="271">
        <f t="shared" si="195"/>
        <v>0</v>
      </c>
      <c r="CP63" s="271">
        <f t="shared" si="176"/>
        <v>0</v>
      </c>
      <c r="CQ63" s="271">
        <f t="shared" si="177"/>
        <v>0</v>
      </c>
      <c r="CR63" s="271">
        <f t="shared" si="178"/>
        <v>0</v>
      </c>
      <c r="CS63" s="271">
        <f t="shared" si="196"/>
        <v>0</v>
      </c>
      <c r="CT63" s="271">
        <f t="shared" si="197"/>
        <v>0</v>
      </c>
      <c r="CU63" s="272">
        <f t="shared" si="198"/>
        <v>2055</v>
      </c>
      <c r="CV63" s="273">
        <f t="shared" si="179"/>
        <v>0</v>
      </c>
      <c r="CW63" s="273">
        <f t="shared" si="180"/>
        <v>0</v>
      </c>
      <c r="CX63" s="273">
        <f t="shared" si="181"/>
        <v>0</v>
      </c>
      <c r="CY63" s="273">
        <f>IF(CT62=0,0,IF(CT63&gt;0,0,IF(AND(SUM(CT$7:CT62)&gt;0,SUM(CT63:CT$100)=0),CB$42,0)))</f>
        <v>0</v>
      </c>
      <c r="CZ63" s="273">
        <f>IF(CT62=0,0,IF(CT63&gt;0,0,IF(AND(SUM(CT$7:CT62)&gt;0,SUM(CT63:CT$100)=0),CB$41,0)))</f>
        <v>0</v>
      </c>
      <c r="DA63" s="273">
        <f>IF(SUM(CT$7:CT$100)=0,0,IF(SUM(CT63:CT$100)=0,CZ63-CY63,CM63-SUM(CN63:CR63)-CY63+CZ63))</f>
        <v>0</v>
      </c>
      <c r="DB63" s="274">
        <f t="shared" si="199"/>
        <v>2055</v>
      </c>
      <c r="DC63" s="275">
        <f t="shared" si="55"/>
        <v>0</v>
      </c>
      <c r="DD63" s="275">
        <f t="shared" si="56"/>
        <v>0</v>
      </c>
      <c r="DE63" s="275">
        <f t="shared" si="57"/>
        <v>0</v>
      </c>
      <c r="DF63" s="275">
        <f t="shared" si="58"/>
        <v>0</v>
      </c>
      <c r="DG63" s="360">
        <f t="shared" si="59"/>
        <v>0</v>
      </c>
      <c r="DH63" s="56"/>
      <c r="DI63" s="56"/>
      <c r="DJ63" s="233"/>
      <c r="DK63" s="233"/>
      <c r="DL63" s="37"/>
      <c r="DM63" s="37"/>
      <c r="DN63" s="37"/>
    </row>
    <row r="64" spans="1:118" ht="15">
      <c r="A64" s="206"/>
      <c r="B64" s="9"/>
      <c r="C64" s="9"/>
      <c r="D64" s="236"/>
      <c r="E64" s="236"/>
      <c r="F64" s="238">
        <f t="shared" si="106"/>
        <v>0</v>
      </c>
      <c r="G64" s="329"/>
      <c r="H64" s="239">
        <f t="shared" si="107"/>
        <v>0</v>
      </c>
      <c r="I64" s="351"/>
      <c r="J64" s="240">
        <f t="shared" si="108"/>
        <v>0</v>
      </c>
      <c r="K64" s="329"/>
      <c r="L64" s="241">
        <f t="shared" si="109"/>
        <v>0</v>
      </c>
      <c r="M64" s="326"/>
      <c r="N64" s="242">
        <f t="shared" si="110"/>
        <v>0</v>
      </c>
      <c r="O64" s="326"/>
      <c r="P64" s="243">
        <f t="shared" si="111"/>
        <v>0</v>
      </c>
      <c r="Q64" s="326"/>
      <c r="R64" s="244">
        <f t="shared" si="112"/>
        <v>0</v>
      </c>
      <c r="S64" s="325"/>
      <c r="T64" s="245">
        <f t="shared" si="113"/>
        <v>0</v>
      </c>
      <c r="U64" s="326"/>
      <c r="V64" s="246">
        <f t="shared" si="114"/>
        <v>0</v>
      </c>
      <c r="W64" s="326"/>
      <c r="X64" s="247">
        <f t="shared" si="115"/>
        <v>0</v>
      </c>
      <c r="Y64" s="248">
        <f t="shared" si="162"/>
        <v>0</v>
      </c>
      <c r="Z64" s="249">
        <f t="shared" si="163"/>
        <v>0</v>
      </c>
      <c r="AA64" s="249">
        <f t="shared" si="164"/>
        <v>0</v>
      </c>
      <c r="AB64" s="250">
        <f t="shared" si="165"/>
        <v>0</v>
      </c>
      <c r="AC64" s="250">
        <f t="shared" si="166"/>
        <v>0</v>
      </c>
      <c r="AD64" s="250">
        <f t="shared" si="200"/>
        <v>0</v>
      </c>
      <c r="AE64" s="239">
        <f t="shared" si="121"/>
        <v>0</v>
      </c>
      <c r="AF64" s="251">
        <f t="shared" si="167"/>
        <v>0</v>
      </c>
      <c r="AG64" s="251">
        <f t="shared" si="168"/>
        <v>0</v>
      </c>
      <c r="AH64" s="251">
        <f t="shared" si="182"/>
        <v>0</v>
      </c>
      <c r="AI64" s="251">
        <f t="shared" si="169"/>
        <v>0</v>
      </c>
      <c r="AJ64" s="251">
        <f t="shared" si="170"/>
        <v>0</v>
      </c>
      <c r="AK64" s="251">
        <f t="shared" si="183"/>
        <v>0</v>
      </c>
      <c r="AL64" s="245">
        <f t="shared" si="126"/>
        <v>0</v>
      </c>
      <c r="AM64" s="252">
        <f t="shared" si="184"/>
        <v>0</v>
      </c>
      <c r="AN64" s="252">
        <f t="shared" si="171"/>
        <v>0</v>
      </c>
      <c r="AO64" s="252">
        <f t="shared" si="172"/>
        <v>0</v>
      </c>
      <c r="AP64" s="252">
        <f t="shared" si="173"/>
        <v>0</v>
      </c>
      <c r="AQ64" s="252">
        <f t="shared" si="174"/>
        <v>0</v>
      </c>
      <c r="AR64" s="252">
        <f t="shared" si="185"/>
        <v>0</v>
      </c>
      <c r="AS64" s="131"/>
      <c r="AT64" s="131"/>
      <c r="AU64" s="132"/>
      <c r="AV64" s="37"/>
      <c r="AW64" s="37"/>
      <c r="AX64" s="37"/>
      <c r="AY64" s="347"/>
      <c r="AZ64" s="349"/>
      <c r="BA64" s="131"/>
      <c r="BB64" s="131"/>
      <c r="BC64" s="131"/>
      <c r="BD64" s="131"/>
      <c r="BE64" s="133"/>
      <c r="BF64" s="341"/>
      <c r="BG64" s="342"/>
      <c r="BH64" s="343"/>
      <c r="BI64" s="344"/>
      <c r="BJ64" s="345"/>
      <c r="BK64" s="346"/>
      <c r="BL64" s="135"/>
      <c r="BM64" s="341"/>
      <c r="BN64" s="342"/>
      <c r="BO64" s="343"/>
      <c r="BP64" s="344"/>
      <c r="BQ64" s="345"/>
      <c r="BR64" s="346"/>
      <c r="BS64" s="136"/>
      <c r="BT64" s="341"/>
      <c r="BU64" s="342"/>
      <c r="BV64" s="343"/>
      <c r="BW64" s="344"/>
      <c r="BX64" s="345"/>
      <c r="BY64" s="346"/>
      <c r="BZ64" s="156"/>
      <c r="CA64" s="156"/>
      <c r="CB64" s="156"/>
      <c r="CC64" s="266">
        <f t="shared" si="186"/>
        <v>2056</v>
      </c>
      <c r="CD64" s="267">
        <f t="shared" si="202"/>
        <v>0</v>
      </c>
      <c r="CE64" s="267">
        <f t="shared" si="187"/>
        <v>0</v>
      </c>
      <c r="CF64" s="267">
        <f t="shared" si="188"/>
        <v>0</v>
      </c>
      <c r="CG64" s="267">
        <f t="shared" si="201"/>
        <v>0</v>
      </c>
      <c r="CH64" s="267">
        <f t="shared" si="189"/>
        <v>0</v>
      </c>
      <c r="CI64" s="267">
        <f t="shared" si="190"/>
        <v>0</v>
      </c>
      <c r="CJ64" s="269">
        <f t="shared" si="191"/>
        <v>28.96394073194973</v>
      </c>
      <c r="CK64" s="269">
        <f t="shared" si="192"/>
        <v>3.633068505615219</v>
      </c>
      <c r="CL64" s="270">
        <f t="shared" si="193"/>
        <v>2056</v>
      </c>
      <c r="CM64" s="271">
        <f t="shared" si="175"/>
        <v>0</v>
      </c>
      <c r="CN64" s="271">
        <f t="shared" si="194"/>
        <v>0</v>
      </c>
      <c r="CO64" s="271">
        <f t="shared" si="195"/>
        <v>0</v>
      </c>
      <c r="CP64" s="271">
        <f t="shared" si="176"/>
        <v>0</v>
      </c>
      <c r="CQ64" s="271">
        <f t="shared" si="177"/>
        <v>0</v>
      </c>
      <c r="CR64" s="271">
        <f t="shared" si="178"/>
        <v>0</v>
      </c>
      <c r="CS64" s="271">
        <f t="shared" si="196"/>
        <v>0</v>
      </c>
      <c r="CT64" s="271">
        <f t="shared" si="197"/>
        <v>0</v>
      </c>
      <c r="CU64" s="272">
        <f t="shared" si="198"/>
        <v>2056</v>
      </c>
      <c r="CV64" s="273">
        <f t="shared" si="179"/>
        <v>0</v>
      </c>
      <c r="CW64" s="273">
        <f t="shared" si="180"/>
        <v>0</v>
      </c>
      <c r="CX64" s="273">
        <f t="shared" si="181"/>
        <v>0</v>
      </c>
      <c r="CY64" s="273">
        <f>IF(CT63=0,0,IF(CT64&gt;0,0,IF(AND(SUM(CT$7:CT63)&gt;0,SUM(CT64:CT$100)=0),CB$42,0)))</f>
        <v>0</v>
      </c>
      <c r="CZ64" s="273">
        <f>IF(CT63=0,0,IF(CT64&gt;0,0,IF(AND(SUM(CT$7:CT63)&gt;0,SUM(CT64:CT$100)=0),CB$41,0)))</f>
        <v>0</v>
      </c>
      <c r="DA64" s="273">
        <f>IF(SUM(CT$7:CT$100)=0,0,IF(SUM(CT64:CT$100)=0,CZ64-CY64,CM64-SUM(CN64:CR64)-CY64+CZ64))</f>
        <v>0</v>
      </c>
      <c r="DB64" s="274">
        <f t="shared" si="199"/>
        <v>2056</v>
      </c>
      <c r="DC64" s="275">
        <f t="shared" si="55"/>
        <v>0</v>
      </c>
      <c r="DD64" s="275">
        <f t="shared" si="56"/>
        <v>0</v>
      </c>
      <c r="DE64" s="275">
        <f t="shared" si="57"/>
        <v>0</v>
      </c>
      <c r="DF64" s="275">
        <f t="shared" si="58"/>
        <v>0</v>
      </c>
      <c r="DG64" s="360">
        <f t="shared" si="59"/>
        <v>0</v>
      </c>
      <c r="DH64" s="56"/>
      <c r="DI64" s="56"/>
      <c r="DJ64" s="233"/>
      <c r="DK64" s="233"/>
      <c r="DL64" s="37"/>
      <c r="DM64" s="37"/>
      <c r="DN64" s="37"/>
    </row>
    <row r="65" spans="1:118" ht="15">
      <c r="A65" s="206"/>
      <c r="B65" s="9"/>
      <c r="C65" s="9"/>
      <c r="D65" s="236"/>
      <c r="E65" s="236"/>
      <c r="F65" s="238">
        <f t="shared" si="106"/>
        <v>0</v>
      </c>
      <c r="G65" s="329"/>
      <c r="H65" s="239">
        <f t="shared" si="107"/>
        <v>0</v>
      </c>
      <c r="I65" s="351"/>
      <c r="J65" s="240">
        <f t="shared" si="108"/>
        <v>0</v>
      </c>
      <c r="K65" s="329"/>
      <c r="L65" s="241">
        <f t="shared" si="109"/>
        <v>0</v>
      </c>
      <c r="M65" s="326"/>
      <c r="N65" s="242">
        <f t="shared" si="110"/>
        <v>0</v>
      </c>
      <c r="O65" s="326"/>
      <c r="P65" s="243">
        <f t="shared" si="111"/>
        <v>0</v>
      </c>
      <c r="Q65" s="326"/>
      <c r="R65" s="244">
        <f t="shared" si="112"/>
        <v>0</v>
      </c>
      <c r="S65" s="325"/>
      <c r="T65" s="245">
        <f t="shared" si="113"/>
        <v>0</v>
      </c>
      <c r="U65" s="326"/>
      <c r="V65" s="246">
        <f t="shared" si="114"/>
        <v>0</v>
      </c>
      <c r="W65" s="326"/>
      <c r="X65" s="247">
        <f t="shared" si="115"/>
        <v>0</v>
      </c>
      <c r="Y65" s="248">
        <f t="shared" si="162"/>
        <v>0</v>
      </c>
      <c r="Z65" s="249">
        <f t="shared" si="163"/>
        <v>0</v>
      </c>
      <c r="AA65" s="249">
        <f t="shared" si="164"/>
        <v>0</v>
      </c>
      <c r="AB65" s="250">
        <f t="shared" si="165"/>
        <v>0</v>
      </c>
      <c r="AC65" s="250">
        <f t="shared" si="166"/>
        <v>0</v>
      </c>
      <c r="AD65" s="250">
        <f t="shared" si="200"/>
        <v>0</v>
      </c>
      <c r="AE65" s="239">
        <f t="shared" si="121"/>
        <v>0</v>
      </c>
      <c r="AF65" s="251">
        <f t="shared" si="167"/>
        <v>0</v>
      </c>
      <c r="AG65" s="251">
        <f t="shared" si="168"/>
        <v>0</v>
      </c>
      <c r="AH65" s="251">
        <f t="shared" si="182"/>
        <v>0</v>
      </c>
      <c r="AI65" s="251">
        <f t="shared" si="169"/>
        <v>0</v>
      </c>
      <c r="AJ65" s="251">
        <f t="shared" si="170"/>
        <v>0</v>
      </c>
      <c r="AK65" s="251">
        <f t="shared" si="183"/>
        <v>0</v>
      </c>
      <c r="AL65" s="245">
        <f t="shared" si="126"/>
        <v>0</v>
      </c>
      <c r="AM65" s="252">
        <f t="shared" si="184"/>
        <v>0</v>
      </c>
      <c r="AN65" s="252">
        <f t="shared" si="171"/>
        <v>0</v>
      </c>
      <c r="AO65" s="252">
        <f t="shared" si="172"/>
        <v>0</v>
      </c>
      <c r="AP65" s="252">
        <f t="shared" si="173"/>
        <v>0</v>
      </c>
      <c r="AQ65" s="252">
        <f t="shared" si="174"/>
        <v>0</v>
      </c>
      <c r="AR65" s="252">
        <f t="shared" si="185"/>
        <v>0</v>
      </c>
      <c r="AS65" s="131"/>
      <c r="AT65" s="131"/>
      <c r="AU65" s="132"/>
      <c r="AV65" s="37"/>
      <c r="AW65" s="37"/>
      <c r="AX65" s="37"/>
      <c r="AY65" s="347"/>
      <c r="AZ65" s="347"/>
      <c r="BA65" s="131"/>
      <c r="BB65" s="131"/>
      <c r="BC65" s="131"/>
      <c r="BD65" s="131"/>
      <c r="BE65" s="133"/>
      <c r="BF65" s="341"/>
      <c r="BG65" s="342"/>
      <c r="BH65" s="343"/>
      <c r="BI65" s="344"/>
      <c r="BJ65" s="345"/>
      <c r="BK65" s="346"/>
      <c r="BL65" s="135"/>
      <c r="BM65" s="341"/>
      <c r="BN65" s="342"/>
      <c r="BO65" s="343"/>
      <c r="BP65" s="344"/>
      <c r="BQ65" s="345"/>
      <c r="BR65" s="346"/>
      <c r="BS65" s="136"/>
      <c r="BT65" s="341"/>
      <c r="BU65" s="342"/>
      <c r="BV65" s="343"/>
      <c r="BW65" s="344"/>
      <c r="BX65" s="345"/>
      <c r="BY65" s="346"/>
      <c r="BZ65" s="156"/>
      <c r="CA65" s="156"/>
      <c r="CB65" s="156"/>
      <c r="CC65" s="266">
        <f t="shared" si="186"/>
        <v>2057</v>
      </c>
      <c r="CD65" s="267">
        <f t="shared" si="202"/>
        <v>0</v>
      </c>
      <c r="CE65" s="267">
        <f t="shared" si="187"/>
        <v>0</v>
      </c>
      <c r="CF65" s="267">
        <f t="shared" si="188"/>
        <v>0</v>
      </c>
      <c r="CG65" s="267">
        <f t="shared" si="201"/>
        <v>0</v>
      </c>
      <c r="CH65" s="267">
        <f t="shared" si="189"/>
        <v>0</v>
      </c>
      <c r="CI65" s="267">
        <f t="shared" si="190"/>
        <v>0</v>
      </c>
      <c r="CJ65" s="269">
        <f t="shared" si="191"/>
        <v>29.166688317073373</v>
      </c>
      <c r="CK65" s="269">
        <f t="shared" si="192"/>
        <v>3.6548669166489107</v>
      </c>
      <c r="CL65" s="270">
        <f t="shared" si="193"/>
        <v>2057</v>
      </c>
      <c r="CM65" s="271">
        <f t="shared" si="175"/>
        <v>0</v>
      </c>
      <c r="CN65" s="271">
        <f t="shared" si="194"/>
        <v>0</v>
      </c>
      <c r="CO65" s="271">
        <f t="shared" si="195"/>
        <v>0</v>
      </c>
      <c r="CP65" s="271">
        <f t="shared" si="176"/>
        <v>0</v>
      </c>
      <c r="CQ65" s="271">
        <f t="shared" si="177"/>
        <v>0</v>
      </c>
      <c r="CR65" s="271">
        <f t="shared" si="178"/>
        <v>0</v>
      </c>
      <c r="CS65" s="271">
        <f t="shared" si="196"/>
        <v>0</v>
      </c>
      <c r="CT65" s="271">
        <f t="shared" si="197"/>
        <v>0</v>
      </c>
      <c r="CU65" s="272">
        <f t="shared" si="198"/>
        <v>2057</v>
      </c>
      <c r="CV65" s="273">
        <f t="shared" si="179"/>
        <v>0</v>
      </c>
      <c r="CW65" s="273">
        <f t="shared" si="180"/>
        <v>0</v>
      </c>
      <c r="CX65" s="273">
        <f t="shared" si="181"/>
        <v>0</v>
      </c>
      <c r="CY65" s="273">
        <f>IF(CT64=0,0,IF(CT65&gt;0,0,IF(AND(SUM(CT$7:CT64)&gt;0,SUM(CT65:CT$100)=0),CB$42,0)))</f>
        <v>0</v>
      </c>
      <c r="CZ65" s="273">
        <f>IF(CT64=0,0,IF(CT65&gt;0,0,IF(AND(SUM(CT$7:CT64)&gt;0,SUM(CT65:CT$100)=0),CB$41,0)))</f>
        <v>0</v>
      </c>
      <c r="DA65" s="273">
        <f>IF(SUM(CT$7:CT$100)=0,0,IF(SUM(CT65:CT$100)=0,CZ65-CY65,CM65-SUM(CN65:CR65)-CY65+CZ65))</f>
        <v>0</v>
      </c>
      <c r="DB65" s="274">
        <f t="shared" si="199"/>
        <v>2057</v>
      </c>
      <c r="DC65" s="275">
        <f t="shared" si="55"/>
        <v>0</v>
      </c>
      <c r="DD65" s="275">
        <f t="shared" si="56"/>
        <v>0</v>
      </c>
      <c r="DE65" s="275">
        <f t="shared" si="57"/>
        <v>0</v>
      </c>
      <c r="DF65" s="275">
        <f t="shared" si="58"/>
        <v>0</v>
      </c>
      <c r="DG65" s="360">
        <f t="shared" si="59"/>
        <v>0</v>
      </c>
      <c r="DH65" s="56"/>
      <c r="DI65" s="56"/>
      <c r="DJ65" s="233"/>
      <c r="DK65" s="233"/>
      <c r="DL65" s="37"/>
      <c r="DM65" s="37"/>
      <c r="DN65" s="37"/>
    </row>
    <row r="66" spans="1:118" ht="15">
      <c r="A66" s="206"/>
      <c r="B66" s="9"/>
      <c r="C66" s="9"/>
      <c r="D66" s="236"/>
      <c r="E66" s="236"/>
      <c r="F66" s="238">
        <f t="shared" si="106"/>
        <v>0</v>
      </c>
      <c r="G66" s="329"/>
      <c r="H66" s="239">
        <f t="shared" si="107"/>
        <v>0</v>
      </c>
      <c r="I66" s="351"/>
      <c r="J66" s="240">
        <f t="shared" si="108"/>
        <v>0</v>
      </c>
      <c r="K66" s="329"/>
      <c r="L66" s="241">
        <f t="shared" si="109"/>
        <v>0</v>
      </c>
      <c r="M66" s="326"/>
      <c r="N66" s="242">
        <f t="shared" si="110"/>
        <v>0</v>
      </c>
      <c r="O66" s="326"/>
      <c r="P66" s="243">
        <f t="shared" si="111"/>
        <v>0</v>
      </c>
      <c r="Q66" s="326"/>
      <c r="R66" s="244">
        <f t="shared" si="112"/>
        <v>0</v>
      </c>
      <c r="S66" s="325"/>
      <c r="T66" s="245">
        <f t="shared" si="113"/>
        <v>0</v>
      </c>
      <c r="U66" s="326"/>
      <c r="V66" s="246">
        <f t="shared" si="114"/>
        <v>0</v>
      </c>
      <c r="W66" s="326"/>
      <c r="X66" s="247">
        <f t="shared" si="115"/>
        <v>0</v>
      </c>
      <c r="Y66" s="248">
        <f t="shared" si="162"/>
        <v>0</v>
      </c>
      <c r="Z66" s="249">
        <f t="shared" si="163"/>
        <v>0</v>
      </c>
      <c r="AA66" s="249">
        <f t="shared" si="164"/>
        <v>0</v>
      </c>
      <c r="AB66" s="250">
        <f t="shared" si="165"/>
        <v>0</v>
      </c>
      <c r="AC66" s="250">
        <f t="shared" si="166"/>
        <v>0</v>
      </c>
      <c r="AD66" s="250">
        <f t="shared" si="200"/>
        <v>0</v>
      </c>
      <c r="AE66" s="239">
        <f t="shared" si="121"/>
        <v>0</v>
      </c>
      <c r="AF66" s="251">
        <f t="shared" si="167"/>
        <v>0</v>
      </c>
      <c r="AG66" s="251">
        <f t="shared" si="168"/>
        <v>0</v>
      </c>
      <c r="AH66" s="251">
        <f t="shared" si="182"/>
        <v>0</v>
      </c>
      <c r="AI66" s="251">
        <f t="shared" si="169"/>
        <v>0</v>
      </c>
      <c r="AJ66" s="251">
        <f t="shared" si="170"/>
        <v>0</v>
      </c>
      <c r="AK66" s="251">
        <f t="shared" si="183"/>
        <v>0</v>
      </c>
      <c r="AL66" s="245">
        <f t="shared" si="126"/>
        <v>0</v>
      </c>
      <c r="AM66" s="252">
        <f t="shared" si="184"/>
        <v>0</v>
      </c>
      <c r="AN66" s="252">
        <f t="shared" si="171"/>
        <v>0</v>
      </c>
      <c r="AO66" s="252">
        <f t="shared" si="172"/>
        <v>0</v>
      </c>
      <c r="AP66" s="252">
        <f t="shared" si="173"/>
        <v>0</v>
      </c>
      <c r="AQ66" s="252">
        <f t="shared" si="174"/>
        <v>0</v>
      </c>
      <c r="AR66" s="252">
        <f t="shared" si="185"/>
        <v>0</v>
      </c>
      <c r="AS66" s="131"/>
      <c r="AT66" s="131"/>
      <c r="AU66" s="132"/>
      <c r="AV66" s="37"/>
      <c r="AW66" s="37"/>
      <c r="AX66" s="37"/>
      <c r="AY66" s="347"/>
      <c r="AZ66" s="347"/>
      <c r="BA66" s="131"/>
      <c r="BB66" s="131"/>
      <c r="BC66" s="131"/>
      <c r="BD66" s="131"/>
      <c r="BE66" s="133"/>
      <c r="BF66" s="341"/>
      <c r="BG66" s="342"/>
      <c r="BH66" s="343"/>
      <c r="BI66" s="344"/>
      <c r="BJ66" s="345"/>
      <c r="BK66" s="346"/>
      <c r="BL66" s="135"/>
      <c r="BM66" s="341"/>
      <c r="BN66" s="342"/>
      <c r="BO66" s="343"/>
      <c r="BP66" s="344"/>
      <c r="BQ66" s="345"/>
      <c r="BR66" s="346"/>
      <c r="BS66" s="136"/>
      <c r="BT66" s="341"/>
      <c r="BU66" s="342"/>
      <c r="BV66" s="343"/>
      <c r="BW66" s="344"/>
      <c r="BX66" s="345"/>
      <c r="BY66" s="346"/>
      <c r="BZ66" s="156"/>
      <c r="CA66" s="156"/>
      <c r="CB66" s="156"/>
      <c r="CC66" s="266">
        <f t="shared" si="186"/>
        <v>2058</v>
      </c>
      <c r="CD66" s="267">
        <f t="shared" si="202"/>
        <v>0</v>
      </c>
      <c r="CE66" s="267">
        <f t="shared" si="187"/>
        <v>0</v>
      </c>
      <c r="CF66" s="267">
        <f t="shared" si="188"/>
        <v>0</v>
      </c>
      <c r="CG66" s="267">
        <f t="shared" si="201"/>
        <v>0</v>
      </c>
      <c r="CH66" s="267">
        <f t="shared" si="189"/>
        <v>0</v>
      </c>
      <c r="CI66" s="267">
        <f t="shared" si="190"/>
        <v>0</v>
      </c>
      <c r="CJ66" s="269">
        <f t="shared" si="191"/>
        <v>29.37085513529288</v>
      </c>
      <c r="CK66" s="269">
        <f t="shared" si="192"/>
        <v>3.6767961181488045</v>
      </c>
      <c r="CL66" s="270">
        <f t="shared" si="193"/>
        <v>2058</v>
      </c>
      <c r="CM66" s="271">
        <f t="shared" si="175"/>
        <v>0</v>
      </c>
      <c r="CN66" s="271">
        <f t="shared" si="194"/>
        <v>0</v>
      </c>
      <c r="CO66" s="271">
        <f t="shared" si="195"/>
        <v>0</v>
      </c>
      <c r="CP66" s="271">
        <f t="shared" si="176"/>
        <v>0</v>
      </c>
      <c r="CQ66" s="271">
        <f t="shared" si="177"/>
        <v>0</v>
      </c>
      <c r="CR66" s="271">
        <f t="shared" si="178"/>
        <v>0</v>
      </c>
      <c r="CS66" s="271">
        <f t="shared" si="196"/>
        <v>0</v>
      </c>
      <c r="CT66" s="271">
        <f t="shared" si="197"/>
        <v>0</v>
      </c>
      <c r="CU66" s="272">
        <f t="shared" si="198"/>
        <v>2058</v>
      </c>
      <c r="CV66" s="273">
        <f t="shared" si="179"/>
        <v>0</v>
      </c>
      <c r="CW66" s="273">
        <f t="shared" si="180"/>
        <v>0</v>
      </c>
      <c r="CX66" s="273">
        <f t="shared" si="181"/>
        <v>0</v>
      </c>
      <c r="CY66" s="273">
        <f>IF(CT65=0,0,IF(CT66&gt;0,0,IF(AND(SUM(CT$7:CT65)&gt;0,SUM(CT66:CT$100)=0),CB$42,0)))</f>
        <v>0</v>
      </c>
      <c r="CZ66" s="273">
        <f>IF(CT65=0,0,IF(CT66&gt;0,0,IF(AND(SUM(CT$7:CT65)&gt;0,SUM(CT66:CT$100)=0),CB$41,0)))</f>
        <v>0</v>
      </c>
      <c r="DA66" s="273">
        <f>IF(SUM(CT$7:CT$100)=0,0,IF(SUM(CT66:CT$100)=0,CZ66-CY66,CM66-SUM(CN66:CR66)-CY66+CZ66))</f>
        <v>0</v>
      </c>
      <c r="DB66" s="274">
        <f t="shared" si="199"/>
        <v>2058</v>
      </c>
      <c r="DC66" s="275">
        <f t="shared" si="55"/>
        <v>0</v>
      </c>
      <c r="DD66" s="275">
        <f t="shared" si="56"/>
        <v>0</v>
      </c>
      <c r="DE66" s="275">
        <f t="shared" si="57"/>
        <v>0</v>
      </c>
      <c r="DF66" s="275">
        <f t="shared" si="58"/>
        <v>0</v>
      </c>
      <c r="DG66" s="360">
        <f t="shared" si="59"/>
        <v>0</v>
      </c>
      <c r="DH66" s="56"/>
      <c r="DI66" s="56"/>
      <c r="DJ66" s="233"/>
      <c r="DK66" s="233"/>
      <c r="DL66" s="37"/>
      <c r="DM66" s="37"/>
      <c r="DN66" s="37"/>
    </row>
    <row r="67" spans="1:118" ht="15">
      <c r="A67" s="206"/>
      <c r="B67" s="9"/>
      <c r="C67" s="9"/>
      <c r="D67" s="236"/>
      <c r="E67" s="236"/>
      <c r="F67" s="238">
        <f t="shared" si="106"/>
        <v>0</v>
      </c>
      <c r="G67" s="329"/>
      <c r="H67" s="239">
        <f t="shared" si="107"/>
        <v>0</v>
      </c>
      <c r="I67" s="351"/>
      <c r="J67" s="240">
        <f t="shared" si="108"/>
        <v>0</v>
      </c>
      <c r="K67" s="329"/>
      <c r="L67" s="241">
        <f t="shared" si="109"/>
        <v>0</v>
      </c>
      <c r="M67" s="326"/>
      <c r="N67" s="242">
        <f t="shared" si="110"/>
        <v>0</v>
      </c>
      <c r="O67" s="326"/>
      <c r="P67" s="243">
        <f t="shared" si="111"/>
        <v>0</v>
      </c>
      <c r="Q67" s="326"/>
      <c r="R67" s="244">
        <f t="shared" si="112"/>
        <v>0</v>
      </c>
      <c r="S67" s="325"/>
      <c r="T67" s="245">
        <f t="shared" si="113"/>
        <v>0</v>
      </c>
      <c r="U67" s="326"/>
      <c r="V67" s="246">
        <f t="shared" si="114"/>
        <v>0</v>
      </c>
      <c r="W67" s="326"/>
      <c r="X67" s="247">
        <f t="shared" si="115"/>
        <v>0</v>
      </c>
      <c r="Y67" s="248">
        <f t="shared" si="162"/>
        <v>0</v>
      </c>
      <c r="Z67" s="249">
        <f t="shared" si="163"/>
        <v>0</v>
      </c>
      <c r="AA67" s="249">
        <f t="shared" si="164"/>
        <v>0</v>
      </c>
      <c r="AB67" s="250">
        <f t="shared" si="165"/>
        <v>0</v>
      </c>
      <c r="AC67" s="250">
        <f t="shared" si="166"/>
        <v>0</v>
      </c>
      <c r="AD67" s="250">
        <f t="shared" si="200"/>
        <v>0</v>
      </c>
      <c r="AE67" s="239">
        <f t="shared" si="121"/>
        <v>0</v>
      </c>
      <c r="AF67" s="251">
        <f t="shared" si="167"/>
        <v>0</v>
      </c>
      <c r="AG67" s="251">
        <f t="shared" si="168"/>
        <v>0</v>
      </c>
      <c r="AH67" s="251">
        <f t="shared" si="182"/>
        <v>0</v>
      </c>
      <c r="AI67" s="251">
        <f t="shared" si="169"/>
        <v>0</v>
      </c>
      <c r="AJ67" s="251">
        <f t="shared" si="170"/>
        <v>0</v>
      </c>
      <c r="AK67" s="251">
        <f t="shared" si="183"/>
        <v>0</v>
      </c>
      <c r="AL67" s="245">
        <f t="shared" si="126"/>
        <v>0</v>
      </c>
      <c r="AM67" s="252">
        <f t="shared" si="184"/>
        <v>0</v>
      </c>
      <c r="AN67" s="252">
        <f t="shared" si="171"/>
        <v>0</v>
      </c>
      <c r="AO67" s="252">
        <f t="shared" si="172"/>
        <v>0</v>
      </c>
      <c r="AP67" s="252">
        <f t="shared" si="173"/>
        <v>0</v>
      </c>
      <c r="AQ67" s="252">
        <f t="shared" si="174"/>
        <v>0</v>
      </c>
      <c r="AR67" s="252">
        <f t="shared" si="185"/>
        <v>0</v>
      </c>
      <c r="AS67" s="131"/>
      <c r="AT67" s="131"/>
      <c r="AU67" s="132"/>
      <c r="AV67" s="37"/>
      <c r="AW67" s="37"/>
      <c r="AX67" s="37"/>
      <c r="AY67" s="347"/>
      <c r="AZ67" s="347"/>
      <c r="BA67" s="131"/>
      <c r="BB67" s="131"/>
      <c r="BC67" s="131"/>
      <c r="BD67" s="131"/>
      <c r="BE67" s="133"/>
      <c r="BF67" s="341"/>
      <c r="BG67" s="342"/>
      <c r="BH67" s="343"/>
      <c r="BI67" s="344"/>
      <c r="BJ67" s="345"/>
      <c r="BK67" s="346"/>
      <c r="BL67" s="135"/>
      <c r="BM67" s="341"/>
      <c r="BN67" s="342"/>
      <c r="BO67" s="343"/>
      <c r="BP67" s="344"/>
      <c r="BQ67" s="345"/>
      <c r="BR67" s="346"/>
      <c r="BS67" s="136"/>
      <c r="BT67" s="341"/>
      <c r="BU67" s="342"/>
      <c r="BV67" s="343"/>
      <c r="BW67" s="344"/>
      <c r="BX67" s="345"/>
      <c r="BY67" s="346"/>
      <c r="BZ67" s="156"/>
      <c r="CA67" s="156"/>
      <c r="CB67" s="156"/>
      <c r="CC67" s="266">
        <f t="shared" si="186"/>
        <v>2059</v>
      </c>
      <c r="CD67" s="267">
        <f t="shared" si="202"/>
        <v>0</v>
      </c>
      <c r="CE67" s="267">
        <f t="shared" si="187"/>
        <v>0</v>
      </c>
      <c r="CF67" s="267">
        <f t="shared" si="188"/>
        <v>0</v>
      </c>
      <c r="CG67" s="267">
        <f t="shared" si="201"/>
        <v>0</v>
      </c>
      <c r="CH67" s="267">
        <f t="shared" si="189"/>
        <v>0</v>
      </c>
      <c r="CI67" s="267">
        <f t="shared" si="190"/>
        <v>0</v>
      </c>
      <c r="CJ67" s="269">
        <f t="shared" si="191"/>
        <v>29.576451121239934</v>
      </c>
      <c r="CK67" s="269">
        <f t="shared" si="192"/>
        <v>3.698856894857697</v>
      </c>
      <c r="CL67" s="270">
        <f t="shared" si="193"/>
        <v>2059</v>
      </c>
      <c r="CM67" s="271">
        <f t="shared" si="175"/>
        <v>0</v>
      </c>
      <c r="CN67" s="271">
        <f t="shared" si="194"/>
        <v>0</v>
      </c>
      <c r="CO67" s="271">
        <f t="shared" si="195"/>
        <v>0</v>
      </c>
      <c r="CP67" s="271">
        <f t="shared" si="176"/>
        <v>0</v>
      </c>
      <c r="CQ67" s="271">
        <f t="shared" si="177"/>
        <v>0</v>
      </c>
      <c r="CR67" s="271">
        <f t="shared" si="178"/>
        <v>0</v>
      </c>
      <c r="CS67" s="271">
        <f t="shared" si="196"/>
        <v>0</v>
      </c>
      <c r="CT67" s="271">
        <f t="shared" si="197"/>
        <v>0</v>
      </c>
      <c r="CU67" s="272">
        <f t="shared" si="198"/>
        <v>2059</v>
      </c>
      <c r="CV67" s="273">
        <f t="shared" si="179"/>
        <v>0</v>
      </c>
      <c r="CW67" s="273">
        <f t="shared" si="180"/>
        <v>0</v>
      </c>
      <c r="CX67" s="273">
        <f t="shared" si="181"/>
        <v>0</v>
      </c>
      <c r="CY67" s="273">
        <f>IF(CT66=0,0,IF(CT67&gt;0,0,IF(AND(SUM(CT$7:CT66)&gt;0,SUM(CT67:CT$100)=0),CB$42,0)))</f>
        <v>0</v>
      </c>
      <c r="CZ67" s="273">
        <f>IF(CT66=0,0,IF(CT67&gt;0,0,IF(AND(SUM(CT$7:CT66)&gt;0,SUM(CT67:CT$100)=0),CB$41,0)))</f>
        <v>0</v>
      </c>
      <c r="DA67" s="273">
        <f>IF(SUM(CT$7:CT$100)=0,0,IF(SUM(CT67:CT$100)=0,CZ67-CY67,CM67-SUM(CN67:CR67)-CY67+CZ67))</f>
        <v>0</v>
      </c>
      <c r="DB67" s="274">
        <f t="shared" si="199"/>
        <v>2059</v>
      </c>
      <c r="DC67" s="275">
        <f t="shared" si="55"/>
        <v>0</v>
      </c>
      <c r="DD67" s="275">
        <f t="shared" si="56"/>
        <v>0</v>
      </c>
      <c r="DE67" s="275">
        <f t="shared" si="57"/>
        <v>0</v>
      </c>
      <c r="DF67" s="275">
        <f t="shared" si="58"/>
        <v>0</v>
      </c>
      <c r="DG67" s="360">
        <f t="shared" si="59"/>
        <v>0</v>
      </c>
      <c r="DH67" s="56"/>
      <c r="DI67" s="56"/>
      <c r="DJ67" s="233"/>
      <c r="DK67" s="233"/>
      <c r="DL67" s="37"/>
      <c r="DM67" s="37"/>
      <c r="DN67" s="37"/>
    </row>
    <row r="68" spans="1:118" ht="15">
      <c r="A68" s="206"/>
      <c r="B68" s="9"/>
      <c r="C68" s="9"/>
      <c r="D68" s="236"/>
      <c r="E68" s="236"/>
      <c r="F68" s="238">
        <f t="shared" si="106"/>
        <v>0</v>
      </c>
      <c r="G68" s="329"/>
      <c r="H68" s="239">
        <f t="shared" si="107"/>
        <v>0</v>
      </c>
      <c r="I68" s="351"/>
      <c r="J68" s="240">
        <f t="shared" si="108"/>
        <v>0</v>
      </c>
      <c r="K68" s="329"/>
      <c r="L68" s="241">
        <f t="shared" si="109"/>
        <v>0</v>
      </c>
      <c r="M68" s="326"/>
      <c r="N68" s="242">
        <f t="shared" si="110"/>
        <v>0</v>
      </c>
      <c r="O68" s="326"/>
      <c r="P68" s="243">
        <f t="shared" si="111"/>
        <v>0</v>
      </c>
      <c r="Q68" s="326"/>
      <c r="R68" s="244">
        <f t="shared" si="112"/>
        <v>0</v>
      </c>
      <c r="S68" s="325"/>
      <c r="T68" s="245">
        <f t="shared" si="113"/>
        <v>0</v>
      </c>
      <c r="U68" s="326"/>
      <c r="V68" s="246">
        <f t="shared" si="114"/>
        <v>0</v>
      </c>
      <c r="W68" s="326"/>
      <c r="X68" s="247">
        <f t="shared" si="115"/>
        <v>0</v>
      </c>
      <c r="Y68" s="248">
        <f t="shared" si="162"/>
        <v>0</v>
      </c>
      <c r="Z68" s="249">
        <f t="shared" si="163"/>
        <v>0</v>
      </c>
      <c r="AA68" s="249">
        <f t="shared" si="164"/>
        <v>0</v>
      </c>
      <c r="AB68" s="250">
        <f t="shared" si="165"/>
        <v>0</v>
      </c>
      <c r="AC68" s="250">
        <f t="shared" si="166"/>
        <v>0</v>
      </c>
      <c r="AD68" s="250">
        <f t="shared" si="200"/>
        <v>0</v>
      </c>
      <c r="AE68" s="239">
        <f t="shared" si="121"/>
        <v>0</v>
      </c>
      <c r="AF68" s="251">
        <f t="shared" si="167"/>
        <v>0</v>
      </c>
      <c r="AG68" s="251">
        <f t="shared" si="168"/>
        <v>0</v>
      </c>
      <c r="AH68" s="251">
        <f t="shared" si="182"/>
        <v>0</v>
      </c>
      <c r="AI68" s="251">
        <f t="shared" si="169"/>
        <v>0</v>
      </c>
      <c r="AJ68" s="251">
        <f t="shared" si="170"/>
        <v>0</v>
      </c>
      <c r="AK68" s="251">
        <f t="shared" si="183"/>
        <v>0</v>
      </c>
      <c r="AL68" s="245">
        <f t="shared" si="126"/>
        <v>0</v>
      </c>
      <c r="AM68" s="252">
        <f t="shared" si="184"/>
        <v>0</v>
      </c>
      <c r="AN68" s="252">
        <f t="shared" si="171"/>
        <v>0</v>
      </c>
      <c r="AO68" s="252">
        <f t="shared" si="172"/>
        <v>0</v>
      </c>
      <c r="AP68" s="252">
        <f t="shared" si="173"/>
        <v>0</v>
      </c>
      <c r="AQ68" s="252">
        <f t="shared" si="174"/>
        <v>0</v>
      </c>
      <c r="AR68" s="252">
        <f t="shared" si="185"/>
        <v>0</v>
      </c>
      <c r="AS68" s="131"/>
      <c r="AT68" s="131"/>
      <c r="AU68" s="132"/>
      <c r="AV68" s="37"/>
      <c r="AW68" s="37"/>
      <c r="AX68" s="37"/>
      <c r="AY68" s="347"/>
      <c r="AZ68" s="347"/>
      <c r="BA68" s="131"/>
      <c r="BB68" s="131"/>
      <c r="BC68" s="131"/>
      <c r="BD68" s="131"/>
      <c r="BE68" s="133"/>
      <c r="BF68" s="341"/>
      <c r="BG68" s="342"/>
      <c r="BH68" s="343"/>
      <c r="BI68" s="344"/>
      <c r="BJ68" s="345"/>
      <c r="BK68" s="346"/>
      <c r="BL68" s="135"/>
      <c r="BM68" s="341"/>
      <c r="BN68" s="342"/>
      <c r="BO68" s="343"/>
      <c r="BP68" s="344"/>
      <c r="BQ68" s="345"/>
      <c r="BR68" s="346"/>
      <c r="BS68" s="136"/>
      <c r="BT68" s="341"/>
      <c r="BU68" s="342"/>
      <c r="BV68" s="343"/>
      <c r="BW68" s="344"/>
      <c r="BX68" s="345"/>
      <c r="BY68" s="346"/>
      <c r="BZ68" s="156"/>
      <c r="CA68" s="156"/>
      <c r="CB68" s="156"/>
      <c r="CC68" s="266">
        <f t="shared" si="186"/>
        <v>2060</v>
      </c>
      <c r="CD68" s="267">
        <f t="shared" si="202"/>
        <v>0</v>
      </c>
      <c r="CE68" s="267">
        <f t="shared" si="187"/>
        <v>0</v>
      </c>
      <c r="CF68" s="267">
        <f t="shared" si="188"/>
        <v>0</v>
      </c>
      <c r="CG68" s="267">
        <f t="shared" si="201"/>
        <v>0</v>
      </c>
      <c r="CH68" s="267">
        <f t="shared" si="189"/>
        <v>0</v>
      </c>
      <c r="CI68" s="267">
        <f t="shared" si="190"/>
        <v>0</v>
      </c>
      <c r="CJ68" s="269">
        <f t="shared" si="191"/>
        <v>29.78348627908861</v>
      </c>
      <c r="CK68" s="269">
        <f t="shared" si="192"/>
        <v>3.721050036226843</v>
      </c>
      <c r="CL68" s="270">
        <f t="shared" si="193"/>
        <v>2060</v>
      </c>
      <c r="CM68" s="271">
        <f t="shared" si="175"/>
        <v>0</v>
      </c>
      <c r="CN68" s="271">
        <f t="shared" si="194"/>
        <v>0</v>
      </c>
      <c r="CO68" s="271">
        <f t="shared" si="195"/>
        <v>0</v>
      </c>
      <c r="CP68" s="271">
        <f t="shared" si="176"/>
        <v>0</v>
      </c>
      <c r="CQ68" s="271">
        <f t="shared" si="177"/>
        <v>0</v>
      </c>
      <c r="CR68" s="271">
        <f t="shared" si="178"/>
        <v>0</v>
      </c>
      <c r="CS68" s="271">
        <f t="shared" si="196"/>
        <v>0</v>
      </c>
      <c r="CT68" s="271">
        <f t="shared" si="197"/>
        <v>0</v>
      </c>
      <c r="CU68" s="272">
        <f t="shared" si="198"/>
        <v>2060</v>
      </c>
      <c r="CV68" s="273">
        <f t="shared" si="179"/>
        <v>0</v>
      </c>
      <c r="CW68" s="273">
        <f t="shared" si="180"/>
        <v>0</v>
      </c>
      <c r="CX68" s="273">
        <f t="shared" si="181"/>
        <v>0</v>
      </c>
      <c r="CY68" s="273">
        <f>IF(CT67=0,0,IF(CT68&gt;0,0,IF(AND(SUM(CT$7:CT67)&gt;0,SUM(CT68:CT$100)=0),CB$42,0)))</f>
        <v>0</v>
      </c>
      <c r="CZ68" s="273">
        <f>IF(CT67=0,0,IF(CT68&gt;0,0,IF(AND(SUM(CT$7:CT67)&gt;0,SUM(CT68:CT$100)=0),CB$41,0)))</f>
        <v>0</v>
      </c>
      <c r="DA68" s="273">
        <f>IF(SUM(CT$7:CT$100)=0,0,IF(SUM(CT68:CT$100)=0,CZ68-CY68,CM68-SUM(CN68:CR68)-CY68+CZ68))</f>
        <v>0</v>
      </c>
      <c r="DB68" s="274">
        <f t="shared" si="199"/>
        <v>2060</v>
      </c>
      <c r="DC68" s="275">
        <f t="shared" si="55"/>
        <v>0</v>
      </c>
      <c r="DD68" s="275">
        <f t="shared" si="56"/>
        <v>0</v>
      </c>
      <c r="DE68" s="275">
        <f t="shared" si="57"/>
        <v>0</v>
      </c>
      <c r="DF68" s="275">
        <f t="shared" si="58"/>
        <v>0</v>
      </c>
      <c r="DG68" s="360">
        <f t="shared" si="59"/>
        <v>0</v>
      </c>
      <c r="DH68" s="56"/>
      <c r="DI68" s="56"/>
      <c r="DJ68" s="233"/>
      <c r="DK68" s="233"/>
      <c r="DL68" s="37"/>
      <c r="DM68" s="37"/>
      <c r="DN68" s="37"/>
    </row>
    <row r="69" spans="1:118" ht="15">
      <c r="A69" s="206"/>
      <c r="B69" s="9"/>
      <c r="C69" s="9"/>
      <c r="D69" s="236"/>
      <c r="E69" s="236"/>
      <c r="F69" s="238">
        <f t="shared" si="106"/>
        <v>0</v>
      </c>
      <c r="G69" s="329"/>
      <c r="H69" s="239">
        <f t="shared" si="107"/>
        <v>0</v>
      </c>
      <c r="I69" s="351"/>
      <c r="J69" s="240">
        <f t="shared" si="108"/>
        <v>0</v>
      </c>
      <c r="K69" s="329"/>
      <c r="L69" s="241">
        <f t="shared" si="109"/>
        <v>0</v>
      </c>
      <c r="M69" s="326"/>
      <c r="N69" s="242">
        <f t="shared" si="110"/>
        <v>0</v>
      </c>
      <c r="O69" s="326"/>
      <c r="P69" s="243">
        <f t="shared" si="111"/>
        <v>0</v>
      </c>
      <c r="Q69" s="326"/>
      <c r="R69" s="244">
        <f t="shared" si="112"/>
        <v>0</v>
      </c>
      <c r="S69" s="325"/>
      <c r="T69" s="245">
        <f t="shared" si="113"/>
        <v>0</v>
      </c>
      <c r="U69" s="326"/>
      <c r="V69" s="246">
        <f t="shared" si="114"/>
        <v>0</v>
      </c>
      <c r="W69" s="326"/>
      <c r="X69" s="247">
        <f t="shared" si="115"/>
        <v>0</v>
      </c>
      <c r="Y69" s="248">
        <f t="shared" si="162"/>
        <v>0</v>
      </c>
      <c r="Z69" s="249">
        <f t="shared" si="163"/>
        <v>0</v>
      </c>
      <c r="AA69" s="249">
        <f t="shared" si="164"/>
        <v>0</v>
      </c>
      <c r="AB69" s="250">
        <f t="shared" si="165"/>
        <v>0</v>
      </c>
      <c r="AC69" s="250">
        <f t="shared" si="166"/>
        <v>0</v>
      </c>
      <c r="AD69" s="250">
        <f t="shared" si="200"/>
        <v>0</v>
      </c>
      <c r="AE69" s="239">
        <f t="shared" si="121"/>
        <v>0</v>
      </c>
      <c r="AF69" s="251">
        <f t="shared" si="167"/>
        <v>0</v>
      </c>
      <c r="AG69" s="251">
        <f t="shared" si="168"/>
        <v>0</v>
      </c>
      <c r="AH69" s="251">
        <f t="shared" si="182"/>
        <v>0</v>
      </c>
      <c r="AI69" s="251">
        <f t="shared" si="169"/>
        <v>0</v>
      </c>
      <c r="AJ69" s="251">
        <f t="shared" si="170"/>
        <v>0</v>
      </c>
      <c r="AK69" s="251">
        <f t="shared" si="183"/>
        <v>0</v>
      </c>
      <c r="AL69" s="245">
        <f t="shared" si="126"/>
        <v>0</v>
      </c>
      <c r="AM69" s="252">
        <f t="shared" si="184"/>
        <v>0</v>
      </c>
      <c r="AN69" s="252">
        <f t="shared" si="171"/>
        <v>0</v>
      </c>
      <c r="AO69" s="252">
        <f t="shared" si="172"/>
        <v>0</v>
      </c>
      <c r="AP69" s="252">
        <f t="shared" si="173"/>
        <v>0</v>
      </c>
      <c r="AQ69" s="252">
        <f t="shared" si="174"/>
        <v>0</v>
      </c>
      <c r="AR69" s="252">
        <f t="shared" si="185"/>
        <v>0</v>
      </c>
      <c r="AS69" s="131"/>
      <c r="AT69" s="131"/>
      <c r="AU69" s="132"/>
      <c r="AV69" s="37"/>
      <c r="AW69" s="37"/>
      <c r="AX69" s="37"/>
      <c r="AY69" s="347"/>
      <c r="AZ69" s="347"/>
      <c r="BA69" s="131"/>
      <c r="BB69" s="131"/>
      <c r="BC69" s="131"/>
      <c r="BD69" s="131"/>
      <c r="BE69" s="133"/>
      <c r="BF69" s="341"/>
      <c r="BG69" s="342"/>
      <c r="BH69" s="343"/>
      <c r="BI69" s="344"/>
      <c r="BJ69" s="345"/>
      <c r="BK69" s="346"/>
      <c r="BL69" s="135"/>
      <c r="BM69" s="341"/>
      <c r="BN69" s="342"/>
      <c r="BO69" s="343"/>
      <c r="BP69" s="344"/>
      <c r="BQ69" s="345"/>
      <c r="BR69" s="346"/>
      <c r="BS69" s="136"/>
      <c r="BT69" s="341"/>
      <c r="BU69" s="342"/>
      <c r="BV69" s="343"/>
      <c r="BW69" s="344"/>
      <c r="BX69" s="345"/>
      <c r="BY69" s="346"/>
      <c r="BZ69" s="156"/>
      <c r="CA69" s="156"/>
      <c r="CB69" s="156"/>
      <c r="CC69" s="266">
        <f t="shared" si="186"/>
        <v>2061</v>
      </c>
      <c r="CD69" s="267">
        <f t="shared" si="202"/>
        <v>0</v>
      </c>
      <c r="CE69" s="267">
        <f t="shared" si="187"/>
        <v>0</v>
      </c>
      <c r="CF69" s="267">
        <f t="shared" si="188"/>
        <v>0</v>
      </c>
      <c r="CG69" s="267">
        <f t="shared" si="201"/>
        <v>0</v>
      </c>
      <c r="CH69" s="267">
        <f t="shared" si="189"/>
        <v>0</v>
      </c>
      <c r="CI69" s="267">
        <f t="shared" si="190"/>
        <v>0</v>
      </c>
      <c r="CJ69" s="269">
        <f t="shared" si="191"/>
        <v>29.991970683042222</v>
      </c>
      <c r="CK69" s="269">
        <f t="shared" si="192"/>
        <v>3.7433763364442045</v>
      </c>
      <c r="CL69" s="270">
        <f t="shared" si="193"/>
        <v>2061</v>
      </c>
      <c r="CM69" s="271">
        <f t="shared" si="175"/>
        <v>0</v>
      </c>
      <c r="CN69" s="271">
        <f t="shared" si="194"/>
        <v>0</v>
      </c>
      <c r="CO69" s="271">
        <f t="shared" si="195"/>
        <v>0</v>
      </c>
      <c r="CP69" s="271">
        <f t="shared" si="176"/>
        <v>0</v>
      </c>
      <c r="CQ69" s="271">
        <f t="shared" si="177"/>
        <v>0</v>
      </c>
      <c r="CR69" s="271">
        <f t="shared" si="178"/>
        <v>0</v>
      </c>
      <c r="CS69" s="271">
        <f t="shared" si="196"/>
        <v>0</v>
      </c>
      <c r="CT69" s="271">
        <f t="shared" si="197"/>
        <v>0</v>
      </c>
      <c r="CU69" s="272">
        <f t="shared" si="198"/>
        <v>2061</v>
      </c>
      <c r="CV69" s="273">
        <f t="shared" si="179"/>
        <v>0</v>
      </c>
      <c r="CW69" s="273">
        <f t="shared" si="180"/>
        <v>0</v>
      </c>
      <c r="CX69" s="273">
        <f t="shared" si="181"/>
        <v>0</v>
      </c>
      <c r="CY69" s="273">
        <f>IF(CT68=0,0,IF(CT69&gt;0,0,IF(AND(SUM(CT$7:CT68)&gt;0,SUM(CT69:CT$100)=0),CB$42,0)))</f>
        <v>0</v>
      </c>
      <c r="CZ69" s="273">
        <f>IF(CT68=0,0,IF(CT69&gt;0,0,IF(AND(SUM(CT$7:CT68)&gt;0,SUM(CT69:CT$100)=0),CB$41,0)))</f>
        <v>0</v>
      </c>
      <c r="DA69" s="273">
        <f>IF(SUM(CT$7:CT$100)=0,0,IF(SUM(CT69:CT$100)=0,CZ69-CY69,CM69-SUM(CN69:CR69)-CY69+CZ69))</f>
        <v>0</v>
      </c>
      <c r="DB69" s="274">
        <f t="shared" si="199"/>
        <v>2061</v>
      </c>
      <c r="DC69" s="275">
        <f t="shared" si="55"/>
        <v>0</v>
      </c>
      <c r="DD69" s="275">
        <f t="shared" si="56"/>
        <v>0</v>
      </c>
      <c r="DE69" s="275">
        <f t="shared" si="57"/>
        <v>0</v>
      </c>
      <c r="DF69" s="275">
        <f t="shared" si="58"/>
        <v>0</v>
      </c>
      <c r="DG69" s="360">
        <f t="shared" si="59"/>
        <v>0</v>
      </c>
      <c r="DH69" s="56"/>
      <c r="DI69" s="56"/>
      <c r="DJ69" s="233"/>
      <c r="DK69" s="233"/>
      <c r="DL69" s="37"/>
      <c r="DM69" s="37"/>
      <c r="DN69" s="37"/>
    </row>
    <row r="70" spans="1:118" ht="15">
      <c r="A70" s="206"/>
      <c r="B70" s="9"/>
      <c r="C70" s="9"/>
      <c r="D70" s="236"/>
      <c r="E70" s="236"/>
      <c r="F70" s="238">
        <f t="shared" si="106"/>
        <v>0</v>
      </c>
      <c r="G70" s="329"/>
      <c r="H70" s="239">
        <f t="shared" si="107"/>
        <v>0</v>
      </c>
      <c r="I70" s="351"/>
      <c r="J70" s="240">
        <f t="shared" si="108"/>
        <v>0</v>
      </c>
      <c r="K70" s="329"/>
      <c r="L70" s="241">
        <f t="shared" si="109"/>
        <v>0</v>
      </c>
      <c r="M70" s="326"/>
      <c r="N70" s="242">
        <f t="shared" si="110"/>
        <v>0</v>
      </c>
      <c r="O70" s="326"/>
      <c r="P70" s="243">
        <f t="shared" si="111"/>
        <v>0</v>
      </c>
      <c r="Q70" s="326"/>
      <c r="R70" s="244">
        <f t="shared" si="112"/>
        <v>0</v>
      </c>
      <c r="S70" s="325"/>
      <c r="T70" s="245">
        <f t="shared" si="113"/>
        <v>0</v>
      </c>
      <c r="U70" s="326"/>
      <c r="V70" s="246">
        <f t="shared" si="114"/>
        <v>0</v>
      </c>
      <c r="W70" s="326"/>
      <c r="X70" s="247">
        <f t="shared" si="115"/>
        <v>0</v>
      </c>
      <c r="Y70" s="248">
        <f t="shared" si="162"/>
        <v>0</v>
      </c>
      <c r="Z70" s="249">
        <f t="shared" si="163"/>
        <v>0</v>
      </c>
      <c r="AA70" s="249">
        <f t="shared" si="164"/>
        <v>0</v>
      </c>
      <c r="AB70" s="250">
        <f t="shared" si="165"/>
        <v>0</v>
      </c>
      <c r="AC70" s="250">
        <f t="shared" si="166"/>
        <v>0</v>
      </c>
      <c r="AD70" s="250">
        <f t="shared" si="200"/>
        <v>0</v>
      </c>
      <c r="AE70" s="239">
        <f t="shared" si="121"/>
        <v>0</v>
      </c>
      <c r="AF70" s="251">
        <f t="shared" si="167"/>
        <v>0</v>
      </c>
      <c r="AG70" s="251">
        <f t="shared" si="168"/>
        <v>0</v>
      </c>
      <c r="AH70" s="251">
        <f t="shared" si="182"/>
        <v>0</v>
      </c>
      <c r="AI70" s="251">
        <f t="shared" si="169"/>
        <v>0</v>
      </c>
      <c r="AJ70" s="251">
        <f t="shared" si="170"/>
        <v>0</v>
      </c>
      <c r="AK70" s="251">
        <f t="shared" si="183"/>
        <v>0</v>
      </c>
      <c r="AL70" s="245">
        <f t="shared" si="126"/>
        <v>0</v>
      </c>
      <c r="AM70" s="252">
        <f t="shared" si="184"/>
        <v>0</v>
      </c>
      <c r="AN70" s="252">
        <f t="shared" si="171"/>
        <v>0</v>
      </c>
      <c r="AO70" s="252">
        <f t="shared" si="172"/>
        <v>0</v>
      </c>
      <c r="AP70" s="252">
        <f t="shared" si="173"/>
        <v>0</v>
      </c>
      <c r="AQ70" s="252">
        <f t="shared" si="174"/>
        <v>0</v>
      </c>
      <c r="AR70" s="252">
        <f t="shared" si="185"/>
        <v>0</v>
      </c>
      <c r="AS70" s="131"/>
      <c r="AT70" s="131"/>
      <c r="AU70" s="132"/>
      <c r="AV70" s="37"/>
      <c r="AW70" s="37"/>
      <c r="AX70" s="37"/>
      <c r="AY70" s="347"/>
      <c r="AZ70" s="347"/>
      <c r="BA70" s="131"/>
      <c r="BB70" s="131"/>
      <c r="BC70" s="131"/>
      <c r="BD70" s="131"/>
      <c r="BE70" s="133"/>
      <c r="BF70" s="341"/>
      <c r="BG70" s="342"/>
      <c r="BH70" s="343"/>
      <c r="BI70" s="344"/>
      <c r="BJ70" s="345"/>
      <c r="BK70" s="346"/>
      <c r="BL70" s="135"/>
      <c r="BM70" s="341"/>
      <c r="BN70" s="342"/>
      <c r="BO70" s="343"/>
      <c r="BP70" s="344"/>
      <c r="BQ70" s="345"/>
      <c r="BR70" s="346"/>
      <c r="BS70" s="136"/>
      <c r="BT70" s="341"/>
      <c r="BU70" s="342"/>
      <c r="BV70" s="343"/>
      <c r="BW70" s="344"/>
      <c r="BX70" s="345"/>
      <c r="BY70" s="346"/>
      <c r="BZ70" s="156"/>
      <c r="CA70" s="156"/>
      <c r="CB70" s="156"/>
      <c r="CC70" s="266">
        <f t="shared" si="186"/>
        <v>2062</v>
      </c>
      <c r="CD70" s="267">
        <f t="shared" si="202"/>
        <v>0</v>
      </c>
      <c r="CE70" s="267">
        <f t="shared" si="187"/>
        <v>0</v>
      </c>
      <c r="CF70" s="267">
        <f t="shared" si="188"/>
        <v>0</v>
      </c>
      <c r="CG70" s="267">
        <f t="shared" si="201"/>
        <v>0</v>
      </c>
      <c r="CH70" s="267">
        <f t="shared" si="189"/>
        <v>0</v>
      </c>
      <c r="CI70" s="267">
        <f t="shared" si="190"/>
        <v>0</v>
      </c>
      <c r="CJ70" s="269">
        <f t="shared" si="191"/>
        <v>30.20191447782351</v>
      </c>
      <c r="CK70" s="269">
        <f t="shared" si="192"/>
        <v>3.7658365944628693</v>
      </c>
      <c r="CL70" s="270">
        <f t="shared" si="193"/>
        <v>2062</v>
      </c>
      <c r="CM70" s="271">
        <f t="shared" si="175"/>
        <v>0</v>
      </c>
      <c r="CN70" s="271">
        <f t="shared" si="194"/>
        <v>0</v>
      </c>
      <c r="CO70" s="271">
        <f t="shared" si="195"/>
        <v>0</v>
      </c>
      <c r="CP70" s="271">
        <f t="shared" si="176"/>
        <v>0</v>
      </c>
      <c r="CQ70" s="271">
        <f t="shared" si="177"/>
        <v>0</v>
      </c>
      <c r="CR70" s="271">
        <f t="shared" si="178"/>
        <v>0</v>
      </c>
      <c r="CS70" s="271">
        <f t="shared" si="196"/>
        <v>0</v>
      </c>
      <c r="CT70" s="271">
        <f t="shared" si="197"/>
        <v>0</v>
      </c>
      <c r="CU70" s="272">
        <f t="shared" si="198"/>
        <v>2062</v>
      </c>
      <c r="CV70" s="273">
        <f t="shared" si="179"/>
        <v>0</v>
      </c>
      <c r="CW70" s="273">
        <f t="shared" si="180"/>
        <v>0</v>
      </c>
      <c r="CX70" s="273">
        <f t="shared" si="181"/>
        <v>0</v>
      </c>
      <c r="CY70" s="273">
        <f>IF(CT69=0,0,IF(CT70&gt;0,0,IF(AND(SUM(CT$7:CT69)&gt;0,SUM(CT70:CT$100)=0),CB$42,0)))</f>
        <v>0</v>
      </c>
      <c r="CZ70" s="273">
        <f>IF(CT69=0,0,IF(CT70&gt;0,0,IF(AND(SUM(CT$7:CT69)&gt;0,SUM(CT70:CT$100)=0),CB$41,0)))</f>
        <v>0</v>
      </c>
      <c r="DA70" s="273">
        <f>IF(SUM(CT$7:CT$100)=0,0,IF(SUM(CT70:CT$100)=0,CZ70-CY70,CM70-SUM(CN70:CR70)-CY70+CZ70))</f>
        <v>0</v>
      </c>
      <c r="DB70" s="274">
        <f t="shared" si="199"/>
        <v>2062</v>
      </c>
      <c r="DC70" s="275">
        <f t="shared" si="55"/>
        <v>0</v>
      </c>
      <c r="DD70" s="275">
        <f t="shared" si="56"/>
        <v>0</v>
      </c>
      <c r="DE70" s="275">
        <f t="shared" si="57"/>
        <v>0</v>
      </c>
      <c r="DF70" s="275">
        <f t="shared" si="58"/>
        <v>0</v>
      </c>
      <c r="DG70" s="360">
        <f t="shared" si="59"/>
        <v>0</v>
      </c>
      <c r="DH70" s="56"/>
      <c r="DI70" s="56"/>
      <c r="DJ70" s="233"/>
      <c r="DK70" s="233"/>
      <c r="DL70" s="37"/>
      <c r="DM70" s="37"/>
      <c r="DN70" s="37"/>
    </row>
    <row r="71" spans="1:118" ht="15">
      <c r="A71" s="206"/>
      <c r="B71" s="9"/>
      <c r="C71" s="9"/>
      <c r="D71" s="236"/>
      <c r="E71" s="236"/>
      <c r="F71" s="238">
        <f aca="true" t="shared" si="203" ref="F71:F100">$E71</f>
        <v>0</v>
      </c>
      <c r="G71" s="329"/>
      <c r="H71" s="239">
        <f aca="true" t="shared" si="204" ref="H71:H100">$E71</f>
        <v>0</v>
      </c>
      <c r="I71" s="351"/>
      <c r="J71" s="240">
        <f aca="true" t="shared" si="205" ref="J71:J100">$E71</f>
        <v>0</v>
      </c>
      <c r="K71" s="329"/>
      <c r="L71" s="241">
        <f aca="true" t="shared" si="206" ref="L71:L100">$E71</f>
        <v>0</v>
      </c>
      <c r="M71" s="326"/>
      <c r="N71" s="242">
        <f aca="true" t="shared" si="207" ref="N71:N100">$E71</f>
        <v>0</v>
      </c>
      <c r="O71" s="326"/>
      <c r="P71" s="243">
        <f aca="true" t="shared" si="208" ref="P71:P100">$E71</f>
        <v>0</v>
      </c>
      <c r="Q71" s="326"/>
      <c r="R71" s="244">
        <f aca="true" t="shared" si="209" ref="R71:R100">$E71</f>
        <v>0</v>
      </c>
      <c r="S71" s="325"/>
      <c r="T71" s="245">
        <f aca="true" t="shared" si="210" ref="T71:T100">$E71</f>
        <v>0</v>
      </c>
      <c r="U71" s="326"/>
      <c r="V71" s="246">
        <f aca="true" t="shared" si="211" ref="V71:V100">$E71</f>
        <v>0</v>
      </c>
      <c r="W71" s="326"/>
      <c r="X71" s="247">
        <f aca="true" t="shared" si="212" ref="X71:X100">$E71</f>
        <v>0</v>
      </c>
      <c r="Y71" s="248">
        <f aca="true" t="shared" si="213" ref="Y71:Y86">IF(I71=1,Q71*S71,0)*G71</f>
        <v>0</v>
      </c>
      <c r="Z71" s="249">
        <f aca="true" t="shared" si="214" ref="Z71:Z86">IF(I71=1,Q71*S71*(U71/1000),0)*G71</f>
        <v>0</v>
      </c>
      <c r="AA71" s="249">
        <f aca="true" t="shared" si="215" ref="AA71:AA86">Z71*($M71/1000)</f>
        <v>0</v>
      </c>
      <c r="AB71" s="250">
        <f aca="true" t="shared" si="216" ref="AB71:AB86">IF(I71=2,Q71*S71,0)*G71</f>
        <v>0</v>
      </c>
      <c r="AC71" s="250">
        <f aca="true" t="shared" si="217" ref="AC71:AC86">IF(I71=2,Q71*S71*(W71/1000),0)*G71</f>
        <v>0</v>
      </c>
      <c r="AD71" s="250">
        <f t="shared" si="200"/>
        <v>0</v>
      </c>
      <c r="AE71" s="239">
        <f aca="true" t="shared" si="218" ref="AE71:AE100">$E71</f>
        <v>0</v>
      </c>
      <c r="AF71" s="251">
        <f aca="true" t="shared" si="219" ref="AF71:AF86">IF(I71=3,Q71*S71*K71,0)*G71</f>
        <v>0</v>
      </c>
      <c r="AG71" s="251">
        <f aca="true" t="shared" si="220" ref="AG71:AG86">IF(I71=3,Q71*S71*(U71/1000)*K71,0)*G71</f>
        <v>0</v>
      </c>
      <c r="AH71" s="251">
        <f t="shared" si="182"/>
        <v>0</v>
      </c>
      <c r="AI71" s="251">
        <f aca="true" t="shared" si="221" ref="AI71:AI86">IF(I71=3,Q71*S71*(1-K71),0)*G71</f>
        <v>0</v>
      </c>
      <c r="AJ71" s="251">
        <f aca="true" t="shared" si="222" ref="AJ71:AJ86">IF(I71=3,Q71*S71*(W71/1000)*(1-K71),0)*G71</f>
        <v>0</v>
      </c>
      <c r="AK71" s="251">
        <f t="shared" si="183"/>
        <v>0</v>
      </c>
      <c r="AL71" s="245">
        <f aca="true" t="shared" si="223" ref="AL71:AL100">$E71</f>
        <v>0</v>
      </c>
      <c r="AM71" s="252">
        <f t="shared" si="184"/>
        <v>0</v>
      </c>
      <c r="AN71" s="252">
        <f aca="true" t="shared" si="224" ref="AN71:AN86">Z71+AD71+AG71+AK71</f>
        <v>0</v>
      </c>
      <c r="AO71" s="252">
        <f aca="true" t="shared" si="225" ref="AO71:AO86">AA71+AC71+AH71+AJ71</f>
        <v>0</v>
      </c>
      <c r="AP71" s="252">
        <f aca="true" t="shared" si="226" ref="AP71:AP86">AN71+(AO71/A$36)</f>
        <v>0</v>
      </c>
      <c r="AQ71" s="252">
        <f aca="true" t="shared" si="227" ref="AQ71:AQ86">IF(I71=1,(Q71*S71*(U71/1000))+((Q71*S71*(U71/1000))*(M71/5620)),IF(I71=2,(Q71*S71*(W71/5620))+((Q71*S71*(W71/1000))*(O71/1000)),(Q71*S71*(U71/1000)*K71)+((Q71*S71*(U71/1000)*K71)*(M71/5620))+(Q71*S71*(W71/5620)*(1-K71))+((Q71*S71*(W71/1000)*(1-K71))*(O71/1000))))</f>
        <v>0</v>
      </c>
      <c r="AR71" s="252">
        <f t="shared" si="185"/>
        <v>0</v>
      </c>
      <c r="AS71" s="131"/>
      <c r="AT71" s="131"/>
      <c r="AU71" s="132"/>
      <c r="AV71" s="37"/>
      <c r="AW71" s="37"/>
      <c r="AX71" s="37"/>
      <c r="AY71" s="194"/>
      <c r="AZ71" s="194"/>
      <c r="BA71" s="131"/>
      <c r="BB71" s="131"/>
      <c r="BC71" s="131"/>
      <c r="BD71" s="131"/>
      <c r="BE71" s="133"/>
      <c r="BF71" s="341"/>
      <c r="BG71" s="342"/>
      <c r="BH71" s="343"/>
      <c r="BI71" s="344"/>
      <c r="BJ71" s="345"/>
      <c r="BK71" s="346"/>
      <c r="BL71" s="135"/>
      <c r="BM71" s="341"/>
      <c r="BN71" s="342"/>
      <c r="BO71" s="343"/>
      <c r="BP71" s="344"/>
      <c r="BQ71" s="345"/>
      <c r="BR71" s="346"/>
      <c r="BS71" s="136"/>
      <c r="BT71" s="341"/>
      <c r="BU71" s="342"/>
      <c r="BV71" s="343"/>
      <c r="BW71" s="344"/>
      <c r="BX71" s="345"/>
      <c r="BY71" s="346"/>
      <c r="BZ71" s="156"/>
      <c r="CA71" s="156"/>
      <c r="CB71" s="156"/>
      <c r="CC71" s="266">
        <f t="shared" si="186"/>
        <v>2063</v>
      </c>
      <c r="CD71" s="267">
        <f t="shared" si="202"/>
        <v>0</v>
      </c>
      <c r="CE71" s="267">
        <f t="shared" si="187"/>
        <v>0</v>
      </c>
      <c r="CF71" s="267">
        <f t="shared" si="188"/>
        <v>0</v>
      </c>
      <c r="CG71" s="267">
        <f t="shared" si="201"/>
        <v>0</v>
      </c>
      <c r="CH71" s="267">
        <f t="shared" si="189"/>
        <v>0</v>
      </c>
      <c r="CI71" s="267">
        <f t="shared" si="190"/>
        <v>0</v>
      </c>
      <c r="CJ71" s="269">
        <f t="shared" si="191"/>
        <v>30.41332787916828</v>
      </c>
      <c r="CK71" s="269">
        <f t="shared" si="192"/>
        <v>3.788431614029647</v>
      </c>
      <c r="CL71" s="270">
        <f t="shared" si="193"/>
        <v>2063</v>
      </c>
      <c r="CM71" s="271">
        <f aca="true" t="shared" si="228" ref="CM71:CM86">(CH71*CJ71)+(CI71*CK71)</f>
        <v>0</v>
      </c>
      <c r="CN71" s="271">
        <f t="shared" si="194"/>
        <v>0</v>
      </c>
      <c r="CO71" s="271">
        <f t="shared" si="195"/>
        <v>0</v>
      </c>
      <c r="CP71" s="271">
        <f aca="true" t="shared" si="229" ref="CP71:CP86">IF(CG71&gt;0,CB$24,0)</f>
        <v>0</v>
      </c>
      <c r="CQ71" s="271">
        <f aca="true" t="shared" si="230" ref="CQ71:CQ86">CG71*CB$25</f>
        <v>0</v>
      </c>
      <c r="CR71" s="271">
        <f aca="true" t="shared" si="231" ref="CR71:CR86">(CH71*CB$26)+(CI71*CB$37)</f>
        <v>0</v>
      </c>
      <c r="CS71" s="271">
        <f t="shared" si="196"/>
        <v>0</v>
      </c>
      <c r="CT71" s="271">
        <f t="shared" si="197"/>
        <v>0</v>
      </c>
      <c r="CU71" s="272">
        <f t="shared" si="198"/>
        <v>2063</v>
      </c>
      <c r="CV71" s="273">
        <f aca="true" t="shared" si="232" ref="CV71:CV86">IF(SUM(CT$7:CT$100)=0,0,CG71)</f>
        <v>0</v>
      </c>
      <c r="CW71" s="273">
        <f aca="true" t="shared" si="233" ref="CW71:CW86">IF(SUM(CT$7:CT$100)=0,0,CN71+CO71)</f>
        <v>0</v>
      </c>
      <c r="CX71" s="273">
        <f aca="true" t="shared" si="234" ref="CX71:CX86">IF(SUM(CT$7:CT$100)=0,0,CP71+CQ71+CR71)</f>
        <v>0</v>
      </c>
      <c r="CY71" s="273">
        <f>IF(CT70=0,0,IF(CT71&gt;0,0,IF(AND(SUM(CT$7:CT70)&gt;0,SUM(CT71:CT$100)=0),CB$42,0)))</f>
        <v>0</v>
      </c>
      <c r="CZ71" s="273">
        <f>IF(CT70=0,0,IF(CT71&gt;0,0,IF(AND(SUM(CT$7:CT70)&gt;0,SUM(CT71:CT$100)=0),CB$41,0)))</f>
        <v>0</v>
      </c>
      <c r="DA71" s="273">
        <f>IF(SUM(CT$7:CT$100)=0,0,IF(SUM(CT71:CT$100)=0,CZ71-CY71,CM71-SUM(CN71:CR71)-CY71+CZ71))</f>
        <v>0</v>
      </c>
      <c r="DB71" s="274">
        <f t="shared" si="199"/>
        <v>2063</v>
      </c>
      <c r="DC71" s="275">
        <f t="shared" si="55"/>
        <v>0</v>
      </c>
      <c r="DD71" s="275">
        <f t="shared" si="56"/>
        <v>0</v>
      </c>
      <c r="DE71" s="275">
        <f t="shared" si="57"/>
        <v>0</v>
      </c>
      <c r="DF71" s="275">
        <f t="shared" si="58"/>
        <v>0</v>
      </c>
      <c r="DG71" s="360">
        <f t="shared" si="59"/>
        <v>0</v>
      </c>
      <c r="DH71" s="56"/>
      <c r="DI71" s="56"/>
      <c r="DJ71" s="233"/>
      <c r="DK71" s="233"/>
      <c r="DL71" s="37"/>
      <c r="DM71" s="37"/>
      <c r="DN71" s="37"/>
    </row>
    <row r="72" spans="1:118" ht="15">
      <c r="A72" s="206"/>
      <c r="B72" s="9"/>
      <c r="C72" s="9"/>
      <c r="D72" s="236"/>
      <c r="E72" s="236"/>
      <c r="F72" s="238">
        <f t="shared" si="203"/>
        <v>0</v>
      </c>
      <c r="G72" s="329"/>
      <c r="H72" s="239">
        <f t="shared" si="204"/>
        <v>0</v>
      </c>
      <c r="I72" s="351"/>
      <c r="J72" s="240">
        <f t="shared" si="205"/>
        <v>0</v>
      </c>
      <c r="K72" s="329"/>
      <c r="L72" s="241">
        <f t="shared" si="206"/>
        <v>0</v>
      </c>
      <c r="M72" s="326"/>
      <c r="N72" s="242">
        <f t="shared" si="207"/>
        <v>0</v>
      </c>
      <c r="O72" s="326"/>
      <c r="P72" s="243">
        <f t="shared" si="208"/>
        <v>0</v>
      </c>
      <c r="Q72" s="326"/>
      <c r="R72" s="244">
        <f t="shared" si="209"/>
        <v>0</v>
      </c>
      <c r="S72" s="325"/>
      <c r="T72" s="245">
        <f t="shared" si="210"/>
        <v>0</v>
      </c>
      <c r="U72" s="326"/>
      <c r="V72" s="246">
        <f t="shared" si="211"/>
        <v>0</v>
      </c>
      <c r="W72" s="326"/>
      <c r="X72" s="247">
        <f t="shared" si="212"/>
        <v>0</v>
      </c>
      <c r="Y72" s="248">
        <f t="shared" si="213"/>
        <v>0</v>
      </c>
      <c r="Z72" s="249">
        <f t="shared" si="214"/>
        <v>0</v>
      </c>
      <c r="AA72" s="249">
        <f t="shared" si="215"/>
        <v>0</v>
      </c>
      <c r="AB72" s="250">
        <f t="shared" si="216"/>
        <v>0</v>
      </c>
      <c r="AC72" s="250">
        <f t="shared" si="217"/>
        <v>0</v>
      </c>
      <c r="AD72" s="250">
        <f t="shared" si="200"/>
        <v>0</v>
      </c>
      <c r="AE72" s="239">
        <f t="shared" si="218"/>
        <v>0</v>
      </c>
      <c r="AF72" s="251">
        <f t="shared" si="219"/>
        <v>0</v>
      </c>
      <c r="AG72" s="251">
        <f t="shared" si="220"/>
        <v>0</v>
      </c>
      <c r="AH72" s="251">
        <f aca="true" t="shared" si="235" ref="AH72:AH87">AG72*($M72/1000)</f>
        <v>0</v>
      </c>
      <c r="AI72" s="251">
        <f t="shared" si="221"/>
        <v>0</v>
      </c>
      <c r="AJ72" s="251">
        <f t="shared" si="222"/>
        <v>0</v>
      </c>
      <c r="AK72" s="251">
        <f aca="true" t="shared" si="236" ref="AK72:AK87">AJ72*($O72/1000)</f>
        <v>0</v>
      </c>
      <c r="AL72" s="245">
        <f t="shared" si="223"/>
        <v>0</v>
      </c>
      <c r="AM72" s="252">
        <f aca="true" t="shared" si="237" ref="AM72:AM87">Y72+AB72+AF72+AI72</f>
        <v>0</v>
      </c>
      <c r="AN72" s="252">
        <f t="shared" si="224"/>
        <v>0</v>
      </c>
      <c r="AO72" s="252">
        <f t="shared" si="225"/>
        <v>0</v>
      </c>
      <c r="AP72" s="252">
        <f t="shared" si="226"/>
        <v>0</v>
      </c>
      <c r="AQ72" s="252">
        <f t="shared" si="227"/>
        <v>0</v>
      </c>
      <c r="AR72" s="252">
        <f aca="true" t="shared" si="238" ref="AR72:AR87">IF(G72=0,0,AQ72)</f>
        <v>0</v>
      </c>
      <c r="AS72" s="131"/>
      <c r="AT72" s="131"/>
      <c r="AU72" s="132"/>
      <c r="AV72" s="37"/>
      <c r="AW72" s="37"/>
      <c r="AX72" s="37"/>
      <c r="AY72" s="347"/>
      <c r="AZ72" s="347"/>
      <c r="BA72" s="131"/>
      <c r="BB72" s="131"/>
      <c r="BC72" s="131"/>
      <c r="BD72" s="131"/>
      <c r="BE72" s="133"/>
      <c r="BF72" s="341"/>
      <c r="BG72" s="342"/>
      <c r="BH72" s="343"/>
      <c r="BI72" s="344"/>
      <c r="BJ72" s="345"/>
      <c r="BK72" s="346"/>
      <c r="BL72" s="135"/>
      <c r="BM72" s="341"/>
      <c r="BN72" s="342"/>
      <c r="BO72" s="343"/>
      <c r="BP72" s="344"/>
      <c r="BQ72" s="345"/>
      <c r="BR72" s="346"/>
      <c r="BS72" s="136"/>
      <c r="BT72" s="341"/>
      <c r="BU72" s="342"/>
      <c r="BV72" s="343"/>
      <c r="BW72" s="344"/>
      <c r="BX72" s="345"/>
      <c r="BY72" s="346"/>
      <c r="BZ72" s="156"/>
      <c r="CA72" s="156"/>
      <c r="CB72" s="156"/>
      <c r="CC72" s="266">
        <f aca="true" t="shared" si="239" ref="CC72:CC87">CC71+1</f>
        <v>2064</v>
      </c>
      <c r="CD72" s="267">
        <f t="shared" si="202"/>
        <v>0</v>
      </c>
      <c r="CE72" s="267">
        <f aca="true" t="shared" si="240" ref="CE72:CE87">(CD72/SUM(CD$7:CD$100))*CB$12</f>
        <v>0</v>
      </c>
      <c r="CF72" s="267">
        <f aca="true" t="shared" si="241" ref="CF72:CF87">IF(CB$5&gt;=CB$6,IF(CE72+CF71-CB$8&lt;=0,0,CE72+CF71-CB$8),IF(CE72+CF71-CB$9&lt;=0,0,CE72+CF71-CB$9))</f>
        <v>0</v>
      </c>
      <c r="CG72" s="267">
        <f t="shared" si="201"/>
        <v>0</v>
      </c>
      <c r="CH72" s="267">
        <f aca="true" t="shared" si="242" ref="CH72:CH87">CG72*CB$16</f>
        <v>0</v>
      </c>
      <c r="CI72" s="267">
        <f aca="true" t="shared" si="243" ref="CI72:CI87">(CG72-CH72)*CB$7</f>
        <v>0</v>
      </c>
      <c r="CJ72" s="269">
        <f aca="true" t="shared" si="244" ref="CJ72:CJ87">IF(CC72=0,"",IF(CC72&lt;AZ$5,0,IF(CC72&lt;AZ$9,CB$43*CB$44^(CC72-AZ$5),IF(CC72&lt;AZ$12,CB$47*CB$49^(CC72-AZ$9),CB$51*CB$53^(CC72-AZ$12)))))</f>
        <v>30.626221174322456</v>
      </c>
      <c r="CK72" s="269">
        <f aca="true" t="shared" si="245" ref="CK72:CK87">IF(CC72=0,"",IF(CC72&lt;AZ$31,0,IF(CC72&lt;AZ$35,CB$45*CB$46^(CC72-AZ$31),IF(CC72&lt;AZ$38,CB$48*CB$50^(CC72-AZ$35),CB$52*CB$54^(CC72-AZ$38)))))</f>
        <v>3.811162203713825</v>
      </c>
      <c r="CL72" s="270">
        <f aca="true" t="shared" si="246" ref="CL72:CL87">CL71+1</f>
        <v>2064</v>
      </c>
      <c r="CM72" s="271">
        <f t="shared" si="228"/>
        <v>0</v>
      </c>
      <c r="CN72" s="271">
        <f aca="true" t="shared" si="247" ref="CN72:CN87">IF(CB$4&lt;AW$36,BF72*CB$18,IF(CB$4&lt;AW$38,BM72*CB$18,BT72*CB$18))</f>
        <v>0</v>
      </c>
      <c r="CO72" s="271">
        <f aca="true" t="shared" si="248" ref="CO72:CO87">IF(CB$12&lt;AW$36,(BG72*CB$20)+(BH72*CB$21)+(BI72*CB$22)+(BJ72*CB$23),IF(CB$12&lt;AW$38,(BN72*CB$20)+(BO72*CB$21)+(BP72*CB$22)+(BQ72*CB$23),(BU72*CB$20)+(BV72*CB$21)+(BW72*CB$22)+(BX72*CB$23)))</f>
        <v>0</v>
      </c>
      <c r="CP72" s="271">
        <f t="shared" si="229"/>
        <v>0</v>
      </c>
      <c r="CQ72" s="271">
        <f t="shared" si="230"/>
        <v>0</v>
      </c>
      <c r="CR72" s="271">
        <f t="shared" si="231"/>
        <v>0</v>
      </c>
      <c r="CS72" s="271">
        <f aca="true" t="shared" si="249" ref="CS72:CS87">CM72-CP72-CQ72-CR72</f>
        <v>0</v>
      </c>
      <c r="CT72" s="271">
        <f aca="true" t="shared" si="250" ref="CT72:CT87">IF(CS72&lt;=0,0,1)</f>
        <v>0</v>
      </c>
      <c r="CU72" s="272">
        <f aca="true" t="shared" si="251" ref="CU72:CU87">CU71+1</f>
        <v>2064</v>
      </c>
      <c r="CV72" s="273">
        <f t="shared" si="232"/>
        <v>0</v>
      </c>
      <c r="CW72" s="273">
        <f t="shared" si="233"/>
        <v>0</v>
      </c>
      <c r="CX72" s="273">
        <f t="shared" si="234"/>
        <v>0</v>
      </c>
      <c r="CY72" s="273">
        <f>IF(CT71=0,0,IF(CT72&gt;0,0,IF(AND(SUM(CT$7:CT71)&gt;0,SUM(CT72:CT$100)=0),CB$42,0)))</f>
        <v>0</v>
      </c>
      <c r="CZ72" s="273">
        <f>IF(CT71=0,0,IF(CT72&gt;0,0,IF(AND(SUM(CT$7:CT71)&gt;0,SUM(CT72:CT$100)=0),CB$41,0)))</f>
        <v>0</v>
      </c>
      <c r="DA72" s="273">
        <f>IF(SUM(CT$7:CT$100)=0,0,IF(SUM(CT72:CT$100)=0,CZ72-CY72,CM72-SUM(CN72:CR72)-CY72+CZ72))</f>
        <v>0</v>
      </c>
      <c r="DB72" s="274">
        <f aca="true" t="shared" si="252" ref="DB72:DB87">DB71+1</f>
        <v>2064</v>
      </c>
      <c r="DC72" s="275">
        <f t="shared" si="55"/>
        <v>0</v>
      </c>
      <c r="DD72" s="275">
        <f t="shared" si="56"/>
        <v>0</v>
      </c>
      <c r="DE72" s="275">
        <f t="shared" si="57"/>
        <v>0</v>
      </c>
      <c r="DF72" s="275">
        <f t="shared" si="58"/>
        <v>0</v>
      </c>
      <c r="DG72" s="360">
        <f t="shared" si="59"/>
        <v>0</v>
      </c>
      <c r="DH72" s="56"/>
      <c r="DI72" s="56"/>
      <c r="DJ72" s="233"/>
      <c r="DK72" s="233"/>
      <c r="DL72" s="37"/>
      <c r="DM72" s="37"/>
      <c r="DN72" s="37"/>
    </row>
    <row r="73" spans="1:118" ht="15">
      <c r="A73" s="206"/>
      <c r="B73" s="9"/>
      <c r="C73" s="9"/>
      <c r="D73" s="236"/>
      <c r="E73" s="236"/>
      <c r="F73" s="238">
        <f t="shared" si="203"/>
        <v>0</v>
      </c>
      <c r="G73" s="329"/>
      <c r="H73" s="239">
        <f t="shared" si="204"/>
        <v>0</v>
      </c>
      <c r="I73" s="351"/>
      <c r="J73" s="240">
        <f t="shared" si="205"/>
        <v>0</v>
      </c>
      <c r="K73" s="329"/>
      <c r="L73" s="241">
        <f t="shared" si="206"/>
        <v>0</v>
      </c>
      <c r="M73" s="326"/>
      <c r="N73" s="242">
        <f t="shared" si="207"/>
        <v>0</v>
      </c>
      <c r="O73" s="326"/>
      <c r="P73" s="243">
        <f t="shared" si="208"/>
        <v>0</v>
      </c>
      <c r="Q73" s="326"/>
      <c r="R73" s="244">
        <f t="shared" si="209"/>
        <v>0</v>
      </c>
      <c r="S73" s="325"/>
      <c r="T73" s="245">
        <f t="shared" si="210"/>
        <v>0</v>
      </c>
      <c r="U73" s="326"/>
      <c r="V73" s="246">
        <f t="shared" si="211"/>
        <v>0</v>
      </c>
      <c r="W73" s="326"/>
      <c r="X73" s="247">
        <f t="shared" si="212"/>
        <v>0</v>
      </c>
      <c r="Y73" s="248">
        <f t="shared" si="213"/>
        <v>0</v>
      </c>
      <c r="Z73" s="249">
        <f t="shared" si="214"/>
        <v>0</v>
      </c>
      <c r="AA73" s="249">
        <f t="shared" si="215"/>
        <v>0</v>
      </c>
      <c r="AB73" s="250">
        <f t="shared" si="216"/>
        <v>0</v>
      </c>
      <c r="AC73" s="250">
        <f t="shared" si="217"/>
        <v>0</v>
      </c>
      <c r="AD73" s="250">
        <f aca="true" t="shared" si="253" ref="AD73:AD88">AC73*($O73/1000)</f>
        <v>0</v>
      </c>
      <c r="AE73" s="239">
        <f t="shared" si="218"/>
        <v>0</v>
      </c>
      <c r="AF73" s="251">
        <f t="shared" si="219"/>
        <v>0</v>
      </c>
      <c r="AG73" s="251">
        <f t="shared" si="220"/>
        <v>0</v>
      </c>
      <c r="AH73" s="251">
        <f t="shared" si="235"/>
        <v>0</v>
      </c>
      <c r="AI73" s="251">
        <f t="shared" si="221"/>
        <v>0</v>
      </c>
      <c r="AJ73" s="251">
        <f t="shared" si="222"/>
        <v>0</v>
      </c>
      <c r="AK73" s="251">
        <f t="shared" si="236"/>
        <v>0</v>
      </c>
      <c r="AL73" s="245">
        <f t="shared" si="223"/>
        <v>0</v>
      </c>
      <c r="AM73" s="252">
        <f t="shared" si="237"/>
        <v>0</v>
      </c>
      <c r="AN73" s="252">
        <f t="shared" si="224"/>
        <v>0</v>
      </c>
      <c r="AO73" s="252">
        <f t="shared" si="225"/>
        <v>0</v>
      </c>
      <c r="AP73" s="252">
        <f t="shared" si="226"/>
        <v>0</v>
      </c>
      <c r="AQ73" s="252">
        <f t="shared" si="227"/>
        <v>0</v>
      </c>
      <c r="AR73" s="252">
        <f t="shared" si="238"/>
        <v>0</v>
      </c>
      <c r="AS73" s="131"/>
      <c r="AT73" s="131"/>
      <c r="AU73" s="132"/>
      <c r="AV73" s="37"/>
      <c r="AW73" s="37"/>
      <c r="AX73" s="37"/>
      <c r="AY73" s="347"/>
      <c r="AZ73" s="347"/>
      <c r="BA73" s="131"/>
      <c r="BB73" s="131"/>
      <c r="BC73" s="131"/>
      <c r="BD73" s="131"/>
      <c r="BE73" s="133"/>
      <c r="BF73" s="341"/>
      <c r="BG73" s="342"/>
      <c r="BH73" s="343"/>
      <c r="BI73" s="344"/>
      <c r="BJ73" s="345"/>
      <c r="BK73" s="346"/>
      <c r="BL73" s="135"/>
      <c r="BM73" s="341"/>
      <c r="BN73" s="342"/>
      <c r="BO73" s="343"/>
      <c r="BP73" s="344"/>
      <c r="BQ73" s="345"/>
      <c r="BR73" s="346"/>
      <c r="BS73" s="136"/>
      <c r="BT73" s="341"/>
      <c r="BU73" s="342"/>
      <c r="BV73" s="343"/>
      <c r="BW73" s="344"/>
      <c r="BX73" s="345"/>
      <c r="BY73" s="346"/>
      <c r="BZ73" s="156"/>
      <c r="CA73" s="156"/>
      <c r="CB73" s="156"/>
      <c r="CC73" s="266">
        <f t="shared" si="239"/>
        <v>2065</v>
      </c>
      <c r="CD73" s="267">
        <f t="shared" si="202"/>
        <v>0</v>
      </c>
      <c r="CE73" s="267">
        <f t="shared" si="240"/>
        <v>0</v>
      </c>
      <c r="CF73" s="267">
        <f t="shared" si="241"/>
        <v>0</v>
      </c>
      <c r="CG73" s="267">
        <f t="shared" si="201"/>
        <v>0</v>
      </c>
      <c r="CH73" s="267">
        <f t="shared" si="242"/>
        <v>0</v>
      </c>
      <c r="CI73" s="267">
        <f t="shared" si="243"/>
        <v>0</v>
      </c>
      <c r="CJ73" s="269">
        <f t="shared" si="244"/>
        <v>30.840604722542707</v>
      </c>
      <c r="CK73" s="269">
        <f t="shared" si="245"/>
        <v>3.8340291769361077</v>
      </c>
      <c r="CL73" s="270">
        <f t="shared" si="246"/>
        <v>2065</v>
      </c>
      <c r="CM73" s="271">
        <f t="shared" si="228"/>
        <v>0</v>
      </c>
      <c r="CN73" s="271">
        <f t="shared" si="247"/>
        <v>0</v>
      </c>
      <c r="CO73" s="271">
        <f t="shared" si="248"/>
        <v>0</v>
      </c>
      <c r="CP73" s="271">
        <f t="shared" si="229"/>
        <v>0</v>
      </c>
      <c r="CQ73" s="271">
        <f t="shared" si="230"/>
        <v>0</v>
      </c>
      <c r="CR73" s="271">
        <f t="shared" si="231"/>
        <v>0</v>
      </c>
      <c r="CS73" s="271">
        <f t="shared" si="249"/>
        <v>0</v>
      </c>
      <c r="CT73" s="271">
        <f t="shared" si="250"/>
        <v>0</v>
      </c>
      <c r="CU73" s="272">
        <f t="shared" si="251"/>
        <v>2065</v>
      </c>
      <c r="CV73" s="273">
        <f t="shared" si="232"/>
        <v>0</v>
      </c>
      <c r="CW73" s="273">
        <f t="shared" si="233"/>
        <v>0</v>
      </c>
      <c r="CX73" s="273">
        <f t="shared" si="234"/>
        <v>0</v>
      </c>
      <c r="CY73" s="273">
        <f>IF(CT72=0,0,IF(CT73&gt;0,0,IF(AND(SUM(CT$7:CT72)&gt;0,SUM(CT73:CT$100)=0),CB$42,0)))</f>
        <v>0</v>
      </c>
      <c r="CZ73" s="273">
        <f>IF(CT72=0,0,IF(CT73&gt;0,0,IF(AND(SUM(CT$7:CT72)&gt;0,SUM(CT73:CT$100)=0),CB$41,0)))</f>
        <v>0</v>
      </c>
      <c r="DA73" s="273">
        <f>IF(SUM(CT$7:CT$100)=0,0,IF(SUM(CT73:CT$100)=0,CZ73-CY73,CM73-SUM(CN73:CR73)-CY73+CZ73))</f>
        <v>0</v>
      </c>
      <c r="DB73" s="274">
        <f t="shared" si="252"/>
        <v>2065</v>
      </c>
      <c r="DC73" s="275">
        <f aca="true" t="shared" si="254" ref="DC73:DC100">DA73/((1+A$39)^($CC73-(1+YEAR(C$8))+(0.5+CB$55)))</f>
        <v>0</v>
      </c>
      <c r="DD73" s="275">
        <f aca="true" t="shared" si="255" ref="DD73:DD100">DA73/((1+AW$8)^($CC73-(1+YEAR(C$8))+(0.5+CB$55)))</f>
        <v>0</v>
      </c>
      <c r="DE73" s="275">
        <f aca="true" t="shared" si="256" ref="DE73:DE100">IF(CV73=0,CW73,CW73/2)/((1+AW$8)^(CC73-(1+YEAR(C$8))+(0.5+CB$55)))</f>
        <v>0</v>
      </c>
      <c r="DF73" s="275">
        <f aca="true" t="shared" si="257" ref="DF73:DF100">IF(DA73=0,0,CW73)/((1+AW$8)^(CC73-(1+YEAR(C$8))+(0.5+CB$55/2)))</f>
        <v>0</v>
      </c>
      <c r="DG73" s="360">
        <f aca="true" t="shared" si="258" ref="DG73:DG100">((CM73-CR73)/IF(C$6&lt;400,6,8))/((1+AW$8)^(CC73-(1+YEAR(C$8))+(0.5+CB$55)))</f>
        <v>0</v>
      </c>
      <c r="DH73" s="56"/>
      <c r="DI73" s="56"/>
      <c r="DJ73" s="233"/>
      <c r="DK73" s="233"/>
      <c r="DL73" s="37"/>
      <c r="DM73" s="37"/>
      <c r="DN73" s="37"/>
    </row>
    <row r="74" spans="1:118" ht="15">
      <c r="A74" s="206"/>
      <c r="B74" s="9"/>
      <c r="C74" s="9"/>
      <c r="D74" s="236"/>
      <c r="E74" s="236"/>
      <c r="F74" s="238">
        <f t="shared" si="203"/>
        <v>0</v>
      </c>
      <c r="G74" s="329"/>
      <c r="H74" s="239">
        <f t="shared" si="204"/>
        <v>0</v>
      </c>
      <c r="I74" s="351"/>
      <c r="J74" s="240">
        <f t="shared" si="205"/>
        <v>0</v>
      </c>
      <c r="K74" s="329"/>
      <c r="L74" s="241">
        <f t="shared" si="206"/>
        <v>0</v>
      </c>
      <c r="M74" s="326"/>
      <c r="N74" s="242">
        <f t="shared" si="207"/>
        <v>0</v>
      </c>
      <c r="O74" s="326"/>
      <c r="P74" s="243">
        <f t="shared" si="208"/>
        <v>0</v>
      </c>
      <c r="Q74" s="326"/>
      <c r="R74" s="244">
        <f t="shared" si="209"/>
        <v>0</v>
      </c>
      <c r="S74" s="325"/>
      <c r="T74" s="245">
        <f t="shared" si="210"/>
        <v>0</v>
      </c>
      <c r="U74" s="326"/>
      <c r="V74" s="246">
        <f t="shared" si="211"/>
        <v>0</v>
      </c>
      <c r="W74" s="326"/>
      <c r="X74" s="247">
        <f t="shared" si="212"/>
        <v>0</v>
      </c>
      <c r="Y74" s="248">
        <f t="shared" si="213"/>
        <v>0</v>
      </c>
      <c r="Z74" s="249">
        <f t="shared" si="214"/>
        <v>0</v>
      </c>
      <c r="AA74" s="249">
        <f t="shared" si="215"/>
        <v>0</v>
      </c>
      <c r="AB74" s="250">
        <f t="shared" si="216"/>
        <v>0</v>
      </c>
      <c r="AC74" s="250">
        <f t="shared" si="217"/>
        <v>0</v>
      </c>
      <c r="AD74" s="250">
        <f t="shared" si="253"/>
        <v>0</v>
      </c>
      <c r="AE74" s="239">
        <f t="shared" si="218"/>
        <v>0</v>
      </c>
      <c r="AF74" s="251">
        <f t="shared" si="219"/>
        <v>0</v>
      </c>
      <c r="AG74" s="251">
        <f t="shared" si="220"/>
        <v>0</v>
      </c>
      <c r="AH74" s="251">
        <f t="shared" si="235"/>
        <v>0</v>
      </c>
      <c r="AI74" s="251">
        <f t="shared" si="221"/>
        <v>0</v>
      </c>
      <c r="AJ74" s="251">
        <f t="shared" si="222"/>
        <v>0</v>
      </c>
      <c r="AK74" s="251">
        <f t="shared" si="236"/>
        <v>0</v>
      </c>
      <c r="AL74" s="245">
        <f t="shared" si="223"/>
        <v>0</v>
      </c>
      <c r="AM74" s="252">
        <f t="shared" si="237"/>
        <v>0</v>
      </c>
      <c r="AN74" s="252">
        <f t="shared" si="224"/>
        <v>0</v>
      </c>
      <c r="AO74" s="252">
        <f t="shared" si="225"/>
        <v>0</v>
      </c>
      <c r="AP74" s="252">
        <f t="shared" si="226"/>
        <v>0</v>
      </c>
      <c r="AQ74" s="252">
        <f t="shared" si="227"/>
        <v>0</v>
      </c>
      <c r="AR74" s="252">
        <f t="shared" si="238"/>
        <v>0</v>
      </c>
      <c r="AS74" s="131"/>
      <c r="AT74" s="131"/>
      <c r="AU74" s="132"/>
      <c r="AV74" s="37"/>
      <c r="AW74" s="37"/>
      <c r="AX74" s="37"/>
      <c r="AY74" s="347"/>
      <c r="AZ74" s="347"/>
      <c r="BA74" s="131"/>
      <c r="BB74" s="131"/>
      <c r="BC74" s="131"/>
      <c r="BD74" s="131"/>
      <c r="BE74" s="133"/>
      <c r="BF74" s="341"/>
      <c r="BG74" s="342"/>
      <c r="BH74" s="343"/>
      <c r="BI74" s="344"/>
      <c r="BJ74" s="345"/>
      <c r="BK74" s="346"/>
      <c r="BL74" s="135"/>
      <c r="BM74" s="341"/>
      <c r="BN74" s="342"/>
      <c r="BO74" s="343"/>
      <c r="BP74" s="344"/>
      <c r="BQ74" s="345"/>
      <c r="BR74" s="346"/>
      <c r="BS74" s="136"/>
      <c r="BT74" s="341"/>
      <c r="BU74" s="342"/>
      <c r="BV74" s="343"/>
      <c r="BW74" s="344"/>
      <c r="BX74" s="345"/>
      <c r="BY74" s="346"/>
      <c r="BZ74" s="156"/>
      <c r="CA74" s="156"/>
      <c r="CB74" s="156"/>
      <c r="CC74" s="266">
        <f t="shared" si="239"/>
        <v>2066</v>
      </c>
      <c r="CD74" s="267">
        <f t="shared" si="202"/>
        <v>0</v>
      </c>
      <c r="CE74" s="267">
        <f t="shared" si="240"/>
        <v>0</v>
      </c>
      <c r="CF74" s="267">
        <f t="shared" si="241"/>
        <v>0</v>
      </c>
      <c r="CG74" s="267">
        <f t="shared" si="201"/>
        <v>0</v>
      </c>
      <c r="CH74" s="267">
        <f t="shared" si="242"/>
        <v>0</v>
      </c>
      <c r="CI74" s="267">
        <f t="shared" si="243"/>
        <v>0</v>
      </c>
      <c r="CJ74" s="269">
        <f t="shared" si="244"/>
        <v>31.056488955600496</v>
      </c>
      <c r="CK74" s="269">
        <f t="shared" si="245"/>
        <v>3.857033351997724</v>
      </c>
      <c r="CL74" s="270">
        <f t="shared" si="246"/>
        <v>2066</v>
      </c>
      <c r="CM74" s="271">
        <f t="shared" si="228"/>
        <v>0</v>
      </c>
      <c r="CN74" s="271">
        <f t="shared" si="247"/>
        <v>0</v>
      </c>
      <c r="CO74" s="271">
        <f t="shared" si="248"/>
        <v>0</v>
      </c>
      <c r="CP74" s="271">
        <f t="shared" si="229"/>
        <v>0</v>
      </c>
      <c r="CQ74" s="271">
        <f t="shared" si="230"/>
        <v>0</v>
      </c>
      <c r="CR74" s="271">
        <f t="shared" si="231"/>
        <v>0</v>
      </c>
      <c r="CS74" s="271">
        <f t="shared" si="249"/>
        <v>0</v>
      </c>
      <c r="CT74" s="271">
        <f t="shared" si="250"/>
        <v>0</v>
      </c>
      <c r="CU74" s="272">
        <f t="shared" si="251"/>
        <v>2066</v>
      </c>
      <c r="CV74" s="273">
        <f t="shared" si="232"/>
        <v>0</v>
      </c>
      <c r="CW74" s="273">
        <f t="shared" si="233"/>
        <v>0</v>
      </c>
      <c r="CX74" s="273">
        <f t="shared" si="234"/>
        <v>0</v>
      </c>
      <c r="CY74" s="273">
        <f>IF(CT73=0,0,IF(CT74&gt;0,0,IF(AND(SUM(CT$7:CT73)&gt;0,SUM(CT74:CT$100)=0),CB$42,0)))</f>
        <v>0</v>
      </c>
      <c r="CZ74" s="273">
        <f>IF(CT73=0,0,IF(CT74&gt;0,0,IF(AND(SUM(CT$7:CT73)&gt;0,SUM(CT74:CT$100)=0),CB$41,0)))</f>
        <v>0</v>
      </c>
      <c r="DA74" s="273">
        <f>IF(SUM(CT$7:CT$100)=0,0,IF(SUM(CT74:CT$100)=0,CZ74-CY74,CM74-SUM(CN74:CR74)-CY74+CZ74))</f>
        <v>0</v>
      </c>
      <c r="DB74" s="274">
        <f t="shared" si="252"/>
        <v>2066</v>
      </c>
      <c r="DC74" s="275">
        <f t="shared" si="254"/>
        <v>0</v>
      </c>
      <c r="DD74" s="275">
        <f t="shared" si="255"/>
        <v>0</v>
      </c>
      <c r="DE74" s="275">
        <f t="shared" si="256"/>
        <v>0</v>
      </c>
      <c r="DF74" s="275">
        <f t="shared" si="257"/>
        <v>0</v>
      </c>
      <c r="DG74" s="360">
        <f t="shared" si="258"/>
        <v>0</v>
      </c>
      <c r="DH74" s="56"/>
      <c r="DI74" s="56"/>
      <c r="DJ74" s="233"/>
      <c r="DK74" s="233"/>
      <c r="DL74" s="37"/>
      <c r="DM74" s="37"/>
      <c r="DN74" s="37"/>
    </row>
    <row r="75" spans="1:118" ht="15">
      <c r="A75" s="206"/>
      <c r="B75" s="9"/>
      <c r="C75" s="9"/>
      <c r="D75" s="236"/>
      <c r="E75" s="236"/>
      <c r="F75" s="238">
        <f t="shared" si="203"/>
        <v>0</v>
      </c>
      <c r="G75" s="329"/>
      <c r="H75" s="239">
        <f t="shared" si="204"/>
        <v>0</v>
      </c>
      <c r="I75" s="351"/>
      <c r="J75" s="240">
        <f t="shared" si="205"/>
        <v>0</v>
      </c>
      <c r="K75" s="329"/>
      <c r="L75" s="241">
        <f t="shared" si="206"/>
        <v>0</v>
      </c>
      <c r="M75" s="326"/>
      <c r="N75" s="242">
        <f t="shared" si="207"/>
        <v>0</v>
      </c>
      <c r="O75" s="326"/>
      <c r="P75" s="243">
        <f t="shared" si="208"/>
        <v>0</v>
      </c>
      <c r="Q75" s="326"/>
      <c r="R75" s="244">
        <f t="shared" si="209"/>
        <v>0</v>
      </c>
      <c r="S75" s="325"/>
      <c r="T75" s="245">
        <f t="shared" si="210"/>
        <v>0</v>
      </c>
      <c r="U75" s="326"/>
      <c r="V75" s="246">
        <f t="shared" si="211"/>
        <v>0</v>
      </c>
      <c r="W75" s="326"/>
      <c r="X75" s="247">
        <f t="shared" si="212"/>
        <v>0</v>
      </c>
      <c r="Y75" s="248">
        <f t="shared" si="213"/>
        <v>0</v>
      </c>
      <c r="Z75" s="249">
        <f t="shared" si="214"/>
        <v>0</v>
      </c>
      <c r="AA75" s="249">
        <f t="shared" si="215"/>
        <v>0</v>
      </c>
      <c r="AB75" s="250">
        <f t="shared" si="216"/>
        <v>0</v>
      </c>
      <c r="AC75" s="250">
        <f t="shared" si="217"/>
        <v>0</v>
      </c>
      <c r="AD75" s="250">
        <f t="shared" si="253"/>
        <v>0</v>
      </c>
      <c r="AE75" s="239">
        <f t="shared" si="218"/>
        <v>0</v>
      </c>
      <c r="AF75" s="251">
        <f t="shared" si="219"/>
        <v>0</v>
      </c>
      <c r="AG75" s="251">
        <f t="shared" si="220"/>
        <v>0</v>
      </c>
      <c r="AH75" s="251">
        <f t="shared" si="235"/>
        <v>0</v>
      </c>
      <c r="AI75" s="251">
        <f t="shared" si="221"/>
        <v>0</v>
      </c>
      <c r="AJ75" s="251">
        <f t="shared" si="222"/>
        <v>0</v>
      </c>
      <c r="AK75" s="251">
        <f t="shared" si="236"/>
        <v>0</v>
      </c>
      <c r="AL75" s="245">
        <f t="shared" si="223"/>
        <v>0</v>
      </c>
      <c r="AM75" s="252">
        <f t="shared" si="237"/>
        <v>0</v>
      </c>
      <c r="AN75" s="252">
        <f t="shared" si="224"/>
        <v>0</v>
      </c>
      <c r="AO75" s="252">
        <f t="shared" si="225"/>
        <v>0</v>
      </c>
      <c r="AP75" s="252">
        <f t="shared" si="226"/>
        <v>0</v>
      </c>
      <c r="AQ75" s="252">
        <f t="shared" si="227"/>
        <v>0</v>
      </c>
      <c r="AR75" s="252">
        <f t="shared" si="238"/>
        <v>0</v>
      </c>
      <c r="AS75" s="131"/>
      <c r="AT75" s="131"/>
      <c r="AU75" s="132"/>
      <c r="AV75" s="37"/>
      <c r="AW75" s="37"/>
      <c r="AX75" s="37"/>
      <c r="AY75" s="347"/>
      <c r="AZ75" s="347"/>
      <c r="BA75" s="131"/>
      <c r="BB75" s="131"/>
      <c r="BC75" s="131"/>
      <c r="BD75" s="131"/>
      <c r="BE75" s="133"/>
      <c r="BF75" s="341"/>
      <c r="BG75" s="342"/>
      <c r="BH75" s="343"/>
      <c r="BI75" s="344"/>
      <c r="BJ75" s="345"/>
      <c r="BK75" s="346"/>
      <c r="BL75" s="135"/>
      <c r="BM75" s="341"/>
      <c r="BN75" s="342"/>
      <c r="BO75" s="343"/>
      <c r="BP75" s="344"/>
      <c r="BQ75" s="345"/>
      <c r="BR75" s="346"/>
      <c r="BS75" s="136"/>
      <c r="BT75" s="341"/>
      <c r="BU75" s="342"/>
      <c r="BV75" s="343"/>
      <c r="BW75" s="344"/>
      <c r="BX75" s="345"/>
      <c r="BY75" s="346"/>
      <c r="BZ75" s="156"/>
      <c r="CA75" s="156"/>
      <c r="CB75" s="156"/>
      <c r="CC75" s="266">
        <f t="shared" si="239"/>
        <v>2067</v>
      </c>
      <c r="CD75" s="267">
        <f t="shared" si="202"/>
        <v>0</v>
      </c>
      <c r="CE75" s="267">
        <f t="shared" si="240"/>
        <v>0</v>
      </c>
      <c r="CF75" s="267">
        <f t="shared" si="241"/>
        <v>0</v>
      </c>
      <c r="CG75" s="267">
        <f aca="true" t="shared" si="259" ref="CG75:CG90">IF(CB$5&gt;=CB$6,IF(CF75&gt;0,CB$8,IF(AND(CE75=0,CF74&lt;CB$8),CF74,CE75+CF74)),IF(CF75&gt;0,CB$9,IF(AND(CE75=0,CF74&lt;CB$9),CF74,CE75+CF74)))</f>
        <v>0</v>
      </c>
      <c r="CH75" s="267">
        <f t="shared" si="242"/>
        <v>0</v>
      </c>
      <c r="CI75" s="267">
        <f t="shared" si="243"/>
        <v>0</v>
      </c>
      <c r="CJ75" s="269">
        <f t="shared" si="244"/>
        <v>31.2738843782897</v>
      </c>
      <c r="CK75" s="269">
        <f t="shared" si="245"/>
        <v>3.8801755521097103</v>
      </c>
      <c r="CL75" s="270">
        <f t="shared" si="246"/>
        <v>2067</v>
      </c>
      <c r="CM75" s="271">
        <f t="shared" si="228"/>
        <v>0</v>
      </c>
      <c r="CN75" s="271">
        <f t="shared" si="247"/>
        <v>0</v>
      </c>
      <c r="CO75" s="271">
        <f t="shared" si="248"/>
        <v>0</v>
      </c>
      <c r="CP75" s="271">
        <f t="shared" si="229"/>
        <v>0</v>
      </c>
      <c r="CQ75" s="271">
        <f t="shared" si="230"/>
        <v>0</v>
      </c>
      <c r="CR75" s="271">
        <f t="shared" si="231"/>
        <v>0</v>
      </c>
      <c r="CS75" s="271">
        <f t="shared" si="249"/>
        <v>0</v>
      </c>
      <c r="CT75" s="271">
        <f t="shared" si="250"/>
        <v>0</v>
      </c>
      <c r="CU75" s="272">
        <f t="shared" si="251"/>
        <v>2067</v>
      </c>
      <c r="CV75" s="273">
        <f t="shared" si="232"/>
        <v>0</v>
      </c>
      <c r="CW75" s="273">
        <f t="shared" si="233"/>
        <v>0</v>
      </c>
      <c r="CX75" s="273">
        <f t="shared" si="234"/>
        <v>0</v>
      </c>
      <c r="CY75" s="273">
        <f>IF(CT74=0,0,IF(CT75&gt;0,0,IF(AND(SUM(CT$7:CT74)&gt;0,SUM(CT75:CT$100)=0),CB$42,0)))</f>
        <v>0</v>
      </c>
      <c r="CZ75" s="273">
        <f>IF(CT74=0,0,IF(CT75&gt;0,0,IF(AND(SUM(CT$7:CT74)&gt;0,SUM(CT75:CT$100)=0),CB$41,0)))</f>
        <v>0</v>
      </c>
      <c r="DA75" s="273">
        <f>IF(SUM(CT$7:CT$100)=0,0,IF(SUM(CT75:CT$100)=0,CZ75-CY75,CM75-SUM(CN75:CR75)-CY75+CZ75))</f>
        <v>0</v>
      </c>
      <c r="DB75" s="274">
        <f t="shared" si="252"/>
        <v>2067</v>
      </c>
      <c r="DC75" s="275">
        <f t="shared" si="254"/>
        <v>0</v>
      </c>
      <c r="DD75" s="275">
        <f t="shared" si="255"/>
        <v>0</v>
      </c>
      <c r="DE75" s="275">
        <f t="shared" si="256"/>
        <v>0</v>
      </c>
      <c r="DF75" s="275">
        <f t="shared" si="257"/>
        <v>0</v>
      </c>
      <c r="DG75" s="360">
        <f t="shared" si="258"/>
        <v>0</v>
      </c>
      <c r="DH75" s="56"/>
      <c r="DI75" s="56"/>
      <c r="DJ75" s="233"/>
      <c r="DK75" s="233"/>
      <c r="DL75" s="37"/>
      <c r="DM75" s="37"/>
      <c r="DN75" s="37"/>
    </row>
    <row r="76" spans="1:118" ht="15">
      <c r="A76" s="206"/>
      <c r="B76" s="9"/>
      <c r="C76" s="9"/>
      <c r="D76" s="236"/>
      <c r="E76" s="236"/>
      <c r="F76" s="238">
        <f t="shared" si="203"/>
        <v>0</v>
      </c>
      <c r="G76" s="329"/>
      <c r="H76" s="239">
        <f t="shared" si="204"/>
        <v>0</v>
      </c>
      <c r="I76" s="351"/>
      <c r="J76" s="240">
        <f t="shared" si="205"/>
        <v>0</v>
      </c>
      <c r="K76" s="329"/>
      <c r="L76" s="241">
        <f t="shared" si="206"/>
        <v>0</v>
      </c>
      <c r="M76" s="326"/>
      <c r="N76" s="242">
        <f t="shared" si="207"/>
        <v>0</v>
      </c>
      <c r="O76" s="326"/>
      <c r="P76" s="243">
        <f t="shared" si="208"/>
        <v>0</v>
      </c>
      <c r="Q76" s="326"/>
      <c r="R76" s="244">
        <f t="shared" si="209"/>
        <v>0</v>
      </c>
      <c r="S76" s="325"/>
      <c r="T76" s="245">
        <f t="shared" si="210"/>
        <v>0</v>
      </c>
      <c r="U76" s="326"/>
      <c r="V76" s="246">
        <f t="shared" si="211"/>
        <v>0</v>
      </c>
      <c r="W76" s="326"/>
      <c r="X76" s="247">
        <f t="shared" si="212"/>
        <v>0</v>
      </c>
      <c r="Y76" s="248">
        <f t="shared" si="213"/>
        <v>0</v>
      </c>
      <c r="Z76" s="249">
        <f t="shared" si="214"/>
        <v>0</v>
      </c>
      <c r="AA76" s="249">
        <f t="shared" si="215"/>
        <v>0</v>
      </c>
      <c r="AB76" s="250">
        <f t="shared" si="216"/>
        <v>0</v>
      </c>
      <c r="AC76" s="250">
        <f t="shared" si="217"/>
        <v>0</v>
      </c>
      <c r="AD76" s="250">
        <f t="shared" si="253"/>
        <v>0</v>
      </c>
      <c r="AE76" s="239">
        <f t="shared" si="218"/>
        <v>0</v>
      </c>
      <c r="AF76" s="251">
        <f t="shared" si="219"/>
        <v>0</v>
      </c>
      <c r="AG76" s="251">
        <f t="shared" si="220"/>
        <v>0</v>
      </c>
      <c r="AH76" s="251">
        <f t="shared" si="235"/>
        <v>0</v>
      </c>
      <c r="AI76" s="251">
        <f t="shared" si="221"/>
        <v>0</v>
      </c>
      <c r="AJ76" s="251">
        <f t="shared" si="222"/>
        <v>0</v>
      </c>
      <c r="AK76" s="251">
        <f t="shared" si="236"/>
        <v>0</v>
      </c>
      <c r="AL76" s="245">
        <f t="shared" si="223"/>
        <v>0</v>
      </c>
      <c r="AM76" s="252">
        <f t="shared" si="237"/>
        <v>0</v>
      </c>
      <c r="AN76" s="252">
        <f t="shared" si="224"/>
        <v>0</v>
      </c>
      <c r="AO76" s="252">
        <f t="shared" si="225"/>
        <v>0</v>
      </c>
      <c r="AP76" s="252">
        <f t="shared" si="226"/>
        <v>0</v>
      </c>
      <c r="AQ76" s="252">
        <f t="shared" si="227"/>
        <v>0</v>
      </c>
      <c r="AR76" s="252">
        <f t="shared" si="238"/>
        <v>0</v>
      </c>
      <c r="AS76" s="131"/>
      <c r="AT76" s="131"/>
      <c r="AU76" s="132"/>
      <c r="AV76" s="37"/>
      <c r="AW76" s="37"/>
      <c r="AX76" s="37"/>
      <c r="AY76" s="347"/>
      <c r="AZ76" s="347"/>
      <c r="BA76" s="131"/>
      <c r="BB76" s="131"/>
      <c r="BC76" s="131"/>
      <c r="BD76" s="131"/>
      <c r="BE76" s="133"/>
      <c r="BF76" s="341"/>
      <c r="BG76" s="342"/>
      <c r="BH76" s="343"/>
      <c r="BI76" s="344"/>
      <c r="BJ76" s="345"/>
      <c r="BK76" s="346"/>
      <c r="BL76" s="135"/>
      <c r="BM76" s="341"/>
      <c r="BN76" s="342"/>
      <c r="BO76" s="343"/>
      <c r="BP76" s="344"/>
      <c r="BQ76" s="345"/>
      <c r="BR76" s="346"/>
      <c r="BS76" s="136"/>
      <c r="BT76" s="341"/>
      <c r="BU76" s="342"/>
      <c r="BV76" s="343"/>
      <c r="BW76" s="344"/>
      <c r="BX76" s="345"/>
      <c r="BY76" s="346"/>
      <c r="BZ76" s="156"/>
      <c r="CA76" s="156"/>
      <c r="CB76" s="156"/>
      <c r="CC76" s="266">
        <f t="shared" si="239"/>
        <v>2068</v>
      </c>
      <c r="CD76" s="267">
        <f aca="true" t="shared" si="260" ref="CD76:CD91">IF(CB$12&lt;AW$36,BK76,IF(CB$12&lt;AW$38,BR76,BY76))</f>
        <v>0</v>
      </c>
      <c r="CE76" s="267">
        <f t="shared" si="240"/>
        <v>0</v>
      </c>
      <c r="CF76" s="267">
        <f t="shared" si="241"/>
        <v>0</v>
      </c>
      <c r="CG76" s="267">
        <f t="shared" si="259"/>
        <v>0</v>
      </c>
      <c r="CH76" s="267">
        <f t="shared" si="242"/>
        <v>0</v>
      </c>
      <c r="CI76" s="267">
        <f t="shared" si="243"/>
        <v>0</v>
      </c>
      <c r="CJ76" s="269">
        <f t="shared" si="244"/>
        <v>31.492801568937725</v>
      </c>
      <c r="CK76" s="269">
        <f t="shared" si="245"/>
        <v>3.903456605422368</v>
      </c>
      <c r="CL76" s="270">
        <f t="shared" si="246"/>
        <v>2068</v>
      </c>
      <c r="CM76" s="271">
        <f t="shared" si="228"/>
        <v>0</v>
      </c>
      <c r="CN76" s="271">
        <f t="shared" si="247"/>
        <v>0</v>
      </c>
      <c r="CO76" s="271">
        <f t="shared" si="248"/>
        <v>0</v>
      </c>
      <c r="CP76" s="271">
        <f t="shared" si="229"/>
        <v>0</v>
      </c>
      <c r="CQ76" s="271">
        <f t="shared" si="230"/>
        <v>0</v>
      </c>
      <c r="CR76" s="271">
        <f t="shared" si="231"/>
        <v>0</v>
      </c>
      <c r="CS76" s="271">
        <f t="shared" si="249"/>
        <v>0</v>
      </c>
      <c r="CT76" s="271">
        <f t="shared" si="250"/>
        <v>0</v>
      </c>
      <c r="CU76" s="272">
        <f t="shared" si="251"/>
        <v>2068</v>
      </c>
      <c r="CV76" s="273">
        <f t="shared" si="232"/>
        <v>0</v>
      </c>
      <c r="CW76" s="273">
        <f t="shared" si="233"/>
        <v>0</v>
      </c>
      <c r="CX76" s="273">
        <f t="shared" si="234"/>
        <v>0</v>
      </c>
      <c r="CY76" s="273">
        <f>IF(CT75=0,0,IF(CT76&gt;0,0,IF(AND(SUM(CT$7:CT75)&gt;0,SUM(CT76:CT$100)=0),CB$42,0)))</f>
        <v>0</v>
      </c>
      <c r="CZ76" s="273">
        <f>IF(CT75=0,0,IF(CT76&gt;0,0,IF(AND(SUM(CT$7:CT75)&gt;0,SUM(CT76:CT$100)=0),CB$41,0)))</f>
        <v>0</v>
      </c>
      <c r="DA76" s="273">
        <f>IF(SUM(CT$7:CT$100)=0,0,IF(SUM(CT76:CT$100)=0,CZ76-CY76,CM76-SUM(CN76:CR76)-CY76+CZ76))</f>
        <v>0</v>
      </c>
      <c r="DB76" s="274">
        <f t="shared" si="252"/>
        <v>2068</v>
      </c>
      <c r="DC76" s="275">
        <f t="shared" si="254"/>
        <v>0</v>
      </c>
      <c r="DD76" s="275">
        <f t="shared" si="255"/>
        <v>0</v>
      </c>
      <c r="DE76" s="275">
        <f t="shared" si="256"/>
        <v>0</v>
      </c>
      <c r="DF76" s="275">
        <f t="shared" si="257"/>
        <v>0</v>
      </c>
      <c r="DG76" s="360">
        <f t="shared" si="258"/>
        <v>0</v>
      </c>
      <c r="DH76" s="56"/>
      <c r="DI76" s="56"/>
      <c r="DJ76" s="233"/>
      <c r="DK76" s="233"/>
      <c r="DL76" s="37"/>
      <c r="DM76" s="37"/>
      <c r="DN76" s="37"/>
    </row>
    <row r="77" spans="1:118" ht="15">
      <c r="A77" s="206"/>
      <c r="B77" s="9"/>
      <c r="C77" s="9"/>
      <c r="D77" s="236"/>
      <c r="E77" s="236"/>
      <c r="F77" s="238">
        <f t="shared" si="203"/>
        <v>0</v>
      </c>
      <c r="G77" s="329"/>
      <c r="H77" s="239">
        <f t="shared" si="204"/>
        <v>0</v>
      </c>
      <c r="I77" s="351"/>
      <c r="J77" s="240">
        <f t="shared" si="205"/>
        <v>0</v>
      </c>
      <c r="K77" s="329"/>
      <c r="L77" s="241">
        <f t="shared" si="206"/>
        <v>0</v>
      </c>
      <c r="M77" s="326"/>
      <c r="N77" s="242">
        <f t="shared" si="207"/>
        <v>0</v>
      </c>
      <c r="O77" s="326"/>
      <c r="P77" s="243">
        <f t="shared" si="208"/>
        <v>0</v>
      </c>
      <c r="Q77" s="326"/>
      <c r="R77" s="244">
        <f t="shared" si="209"/>
        <v>0</v>
      </c>
      <c r="S77" s="325"/>
      <c r="T77" s="245">
        <f t="shared" si="210"/>
        <v>0</v>
      </c>
      <c r="U77" s="326"/>
      <c r="V77" s="246">
        <f t="shared" si="211"/>
        <v>0</v>
      </c>
      <c r="W77" s="326"/>
      <c r="X77" s="247">
        <f t="shared" si="212"/>
        <v>0</v>
      </c>
      <c r="Y77" s="248">
        <f t="shared" si="213"/>
        <v>0</v>
      </c>
      <c r="Z77" s="249">
        <f t="shared" si="214"/>
        <v>0</v>
      </c>
      <c r="AA77" s="249">
        <f t="shared" si="215"/>
        <v>0</v>
      </c>
      <c r="AB77" s="250">
        <f t="shared" si="216"/>
        <v>0</v>
      </c>
      <c r="AC77" s="250">
        <f t="shared" si="217"/>
        <v>0</v>
      </c>
      <c r="AD77" s="250">
        <f t="shared" si="253"/>
        <v>0</v>
      </c>
      <c r="AE77" s="239">
        <f t="shared" si="218"/>
        <v>0</v>
      </c>
      <c r="AF77" s="251">
        <f t="shared" si="219"/>
        <v>0</v>
      </c>
      <c r="AG77" s="251">
        <f t="shared" si="220"/>
        <v>0</v>
      </c>
      <c r="AH77" s="251">
        <f t="shared" si="235"/>
        <v>0</v>
      </c>
      <c r="AI77" s="251">
        <f t="shared" si="221"/>
        <v>0</v>
      </c>
      <c r="AJ77" s="251">
        <f t="shared" si="222"/>
        <v>0</v>
      </c>
      <c r="AK77" s="251">
        <f t="shared" si="236"/>
        <v>0</v>
      </c>
      <c r="AL77" s="245">
        <f t="shared" si="223"/>
        <v>0</v>
      </c>
      <c r="AM77" s="252">
        <f t="shared" si="237"/>
        <v>0</v>
      </c>
      <c r="AN77" s="252">
        <f t="shared" si="224"/>
        <v>0</v>
      </c>
      <c r="AO77" s="252">
        <f t="shared" si="225"/>
        <v>0</v>
      </c>
      <c r="AP77" s="252">
        <f t="shared" si="226"/>
        <v>0</v>
      </c>
      <c r="AQ77" s="252">
        <f t="shared" si="227"/>
        <v>0</v>
      </c>
      <c r="AR77" s="252">
        <f t="shared" si="238"/>
        <v>0</v>
      </c>
      <c r="AS77" s="131"/>
      <c r="AT77" s="131"/>
      <c r="AU77" s="132"/>
      <c r="AV77" s="37"/>
      <c r="AW77" s="37"/>
      <c r="AX77" s="37"/>
      <c r="AY77" s="347"/>
      <c r="AZ77" s="347"/>
      <c r="BA77" s="131"/>
      <c r="BB77" s="131"/>
      <c r="BC77" s="131"/>
      <c r="BD77" s="131"/>
      <c r="BE77" s="133"/>
      <c r="BF77" s="341"/>
      <c r="BG77" s="342"/>
      <c r="BH77" s="343"/>
      <c r="BI77" s="344"/>
      <c r="BJ77" s="345"/>
      <c r="BK77" s="346"/>
      <c r="BL77" s="135"/>
      <c r="BM77" s="341"/>
      <c r="BN77" s="342"/>
      <c r="BO77" s="343"/>
      <c r="BP77" s="344"/>
      <c r="BQ77" s="345"/>
      <c r="BR77" s="346"/>
      <c r="BS77" s="136"/>
      <c r="BT77" s="341"/>
      <c r="BU77" s="342"/>
      <c r="BV77" s="343"/>
      <c r="BW77" s="344"/>
      <c r="BX77" s="345"/>
      <c r="BY77" s="346"/>
      <c r="BZ77" s="156"/>
      <c r="CA77" s="156"/>
      <c r="CB77" s="156"/>
      <c r="CC77" s="266">
        <f t="shared" si="239"/>
        <v>2069</v>
      </c>
      <c r="CD77" s="267">
        <f t="shared" si="260"/>
        <v>0</v>
      </c>
      <c r="CE77" s="267">
        <f t="shared" si="240"/>
        <v>0</v>
      </c>
      <c r="CF77" s="267">
        <f t="shared" si="241"/>
        <v>0</v>
      </c>
      <c r="CG77" s="267">
        <f t="shared" si="259"/>
        <v>0</v>
      </c>
      <c r="CH77" s="267">
        <f t="shared" si="242"/>
        <v>0</v>
      </c>
      <c r="CI77" s="267">
        <f t="shared" si="243"/>
        <v>0</v>
      </c>
      <c r="CJ77" s="269">
        <f t="shared" si="244"/>
        <v>31.713251179920285</v>
      </c>
      <c r="CK77" s="269">
        <f t="shared" si="245"/>
        <v>3.9268773450549035</v>
      </c>
      <c r="CL77" s="270">
        <f t="shared" si="246"/>
        <v>2069</v>
      </c>
      <c r="CM77" s="271">
        <f t="shared" si="228"/>
        <v>0</v>
      </c>
      <c r="CN77" s="271">
        <f t="shared" si="247"/>
        <v>0</v>
      </c>
      <c r="CO77" s="271">
        <f t="shared" si="248"/>
        <v>0</v>
      </c>
      <c r="CP77" s="271">
        <f t="shared" si="229"/>
        <v>0</v>
      </c>
      <c r="CQ77" s="271">
        <f t="shared" si="230"/>
        <v>0</v>
      </c>
      <c r="CR77" s="271">
        <f t="shared" si="231"/>
        <v>0</v>
      </c>
      <c r="CS77" s="271">
        <f t="shared" si="249"/>
        <v>0</v>
      </c>
      <c r="CT77" s="271">
        <f t="shared" si="250"/>
        <v>0</v>
      </c>
      <c r="CU77" s="272">
        <f t="shared" si="251"/>
        <v>2069</v>
      </c>
      <c r="CV77" s="273">
        <f t="shared" si="232"/>
        <v>0</v>
      </c>
      <c r="CW77" s="273">
        <f t="shared" si="233"/>
        <v>0</v>
      </c>
      <c r="CX77" s="273">
        <f t="shared" si="234"/>
        <v>0</v>
      </c>
      <c r="CY77" s="273">
        <f>IF(CT76=0,0,IF(CT77&gt;0,0,IF(AND(SUM(CT$7:CT76)&gt;0,SUM(CT77:CT$100)=0),CB$42,0)))</f>
        <v>0</v>
      </c>
      <c r="CZ77" s="273">
        <f>IF(CT76=0,0,IF(CT77&gt;0,0,IF(AND(SUM(CT$7:CT76)&gt;0,SUM(CT77:CT$100)=0),CB$41,0)))</f>
        <v>0</v>
      </c>
      <c r="DA77" s="273">
        <f>IF(SUM(CT$7:CT$100)=0,0,IF(SUM(CT77:CT$100)=0,CZ77-CY77,CM77-SUM(CN77:CR77)-CY77+CZ77))</f>
        <v>0</v>
      </c>
      <c r="DB77" s="274">
        <f t="shared" si="252"/>
        <v>2069</v>
      </c>
      <c r="DC77" s="275">
        <f t="shared" si="254"/>
        <v>0</v>
      </c>
      <c r="DD77" s="275">
        <f t="shared" si="255"/>
        <v>0</v>
      </c>
      <c r="DE77" s="275">
        <f t="shared" si="256"/>
        <v>0</v>
      </c>
      <c r="DF77" s="275">
        <f t="shared" si="257"/>
        <v>0</v>
      </c>
      <c r="DG77" s="360">
        <f t="shared" si="258"/>
        <v>0</v>
      </c>
      <c r="DH77" s="56"/>
      <c r="DI77" s="56"/>
      <c r="DJ77" s="233"/>
      <c r="DK77" s="233"/>
      <c r="DL77" s="37"/>
      <c r="DM77" s="37"/>
      <c r="DN77" s="37"/>
    </row>
    <row r="78" spans="1:118" ht="15">
      <c r="A78" s="206"/>
      <c r="B78" s="9"/>
      <c r="C78" s="9"/>
      <c r="D78" s="236"/>
      <c r="E78" s="236"/>
      <c r="F78" s="238">
        <f t="shared" si="203"/>
        <v>0</v>
      </c>
      <c r="G78" s="329"/>
      <c r="H78" s="239">
        <f t="shared" si="204"/>
        <v>0</v>
      </c>
      <c r="I78" s="351"/>
      <c r="J78" s="240">
        <f t="shared" si="205"/>
        <v>0</v>
      </c>
      <c r="K78" s="329"/>
      <c r="L78" s="241">
        <f t="shared" si="206"/>
        <v>0</v>
      </c>
      <c r="M78" s="326"/>
      <c r="N78" s="242">
        <f t="shared" si="207"/>
        <v>0</v>
      </c>
      <c r="O78" s="326"/>
      <c r="P78" s="243">
        <f t="shared" si="208"/>
        <v>0</v>
      </c>
      <c r="Q78" s="326"/>
      <c r="R78" s="244">
        <f t="shared" si="209"/>
        <v>0</v>
      </c>
      <c r="S78" s="325"/>
      <c r="T78" s="245">
        <f t="shared" si="210"/>
        <v>0</v>
      </c>
      <c r="U78" s="326"/>
      <c r="V78" s="246">
        <f t="shared" si="211"/>
        <v>0</v>
      </c>
      <c r="W78" s="326"/>
      <c r="X78" s="247">
        <f t="shared" si="212"/>
        <v>0</v>
      </c>
      <c r="Y78" s="248">
        <f t="shared" si="213"/>
        <v>0</v>
      </c>
      <c r="Z78" s="249">
        <f t="shared" si="214"/>
        <v>0</v>
      </c>
      <c r="AA78" s="249">
        <f t="shared" si="215"/>
        <v>0</v>
      </c>
      <c r="AB78" s="250">
        <f t="shared" si="216"/>
        <v>0</v>
      </c>
      <c r="AC78" s="250">
        <f t="shared" si="217"/>
        <v>0</v>
      </c>
      <c r="AD78" s="250">
        <f t="shared" si="253"/>
        <v>0</v>
      </c>
      <c r="AE78" s="239">
        <f t="shared" si="218"/>
        <v>0</v>
      </c>
      <c r="AF78" s="251">
        <f t="shared" si="219"/>
        <v>0</v>
      </c>
      <c r="AG78" s="251">
        <f t="shared" si="220"/>
        <v>0</v>
      </c>
      <c r="AH78" s="251">
        <f t="shared" si="235"/>
        <v>0</v>
      </c>
      <c r="AI78" s="251">
        <f t="shared" si="221"/>
        <v>0</v>
      </c>
      <c r="AJ78" s="251">
        <f t="shared" si="222"/>
        <v>0</v>
      </c>
      <c r="AK78" s="251">
        <f t="shared" si="236"/>
        <v>0</v>
      </c>
      <c r="AL78" s="245">
        <f t="shared" si="223"/>
        <v>0</v>
      </c>
      <c r="AM78" s="252">
        <f t="shared" si="237"/>
        <v>0</v>
      </c>
      <c r="AN78" s="252">
        <f t="shared" si="224"/>
        <v>0</v>
      </c>
      <c r="AO78" s="252">
        <f t="shared" si="225"/>
        <v>0</v>
      </c>
      <c r="AP78" s="252">
        <f t="shared" si="226"/>
        <v>0</v>
      </c>
      <c r="AQ78" s="252">
        <f t="shared" si="227"/>
        <v>0</v>
      </c>
      <c r="AR78" s="252">
        <f t="shared" si="238"/>
        <v>0</v>
      </c>
      <c r="AS78" s="131"/>
      <c r="AT78" s="131"/>
      <c r="AU78" s="132"/>
      <c r="AV78" s="37"/>
      <c r="AW78" s="37"/>
      <c r="AX78" s="37"/>
      <c r="AY78" s="347"/>
      <c r="AZ78" s="347"/>
      <c r="BA78" s="131"/>
      <c r="BB78" s="131"/>
      <c r="BC78" s="131"/>
      <c r="BD78" s="131"/>
      <c r="BE78" s="133"/>
      <c r="BF78" s="341"/>
      <c r="BG78" s="342"/>
      <c r="BH78" s="343"/>
      <c r="BI78" s="344"/>
      <c r="BJ78" s="345"/>
      <c r="BK78" s="346"/>
      <c r="BL78" s="135"/>
      <c r="BM78" s="341"/>
      <c r="BN78" s="342"/>
      <c r="BO78" s="343"/>
      <c r="BP78" s="344"/>
      <c r="BQ78" s="345"/>
      <c r="BR78" s="346"/>
      <c r="BS78" s="136"/>
      <c r="BT78" s="341"/>
      <c r="BU78" s="342"/>
      <c r="BV78" s="343"/>
      <c r="BW78" s="344"/>
      <c r="BX78" s="345"/>
      <c r="BY78" s="346"/>
      <c r="BZ78" s="156"/>
      <c r="CA78" s="156"/>
      <c r="CB78" s="156"/>
      <c r="CC78" s="266">
        <f t="shared" si="239"/>
        <v>2070</v>
      </c>
      <c r="CD78" s="267">
        <f t="shared" si="260"/>
        <v>0</v>
      </c>
      <c r="CE78" s="267">
        <f t="shared" si="240"/>
        <v>0</v>
      </c>
      <c r="CF78" s="267">
        <f t="shared" si="241"/>
        <v>0</v>
      </c>
      <c r="CG78" s="267">
        <f t="shared" si="259"/>
        <v>0</v>
      </c>
      <c r="CH78" s="267">
        <f t="shared" si="242"/>
        <v>0</v>
      </c>
      <c r="CI78" s="267">
        <f t="shared" si="243"/>
        <v>0</v>
      </c>
      <c r="CJ78" s="269">
        <f t="shared" si="244"/>
        <v>31.935243938179724</v>
      </c>
      <c r="CK78" s="269">
        <f t="shared" si="245"/>
        <v>3.9504386091252326</v>
      </c>
      <c r="CL78" s="270">
        <f t="shared" si="246"/>
        <v>2070</v>
      </c>
      <c r="CM78" s="271">
        <f t="shared" si="228"/>
        <v>0</v>
      </c>
      <c r="CN78" s="271">
        <f t="shared" si="247"/>
        <v>0</v>
      </c>
      <c r="CO78" s="271">
        <f t="shared" si="248"/>
        <v>0</v>
      </c>
      <c r="CP78" s="271">
        <f t="shared" si="229"/>
        <v>0</v>
      </c>
      <c r="CQ78" s="271">
        <f t="shared" si="230"/>
        <v>0</v>
      </c>
      <c r="CR78" s="271">
        <f t="shared" si="231"/>
        <v>0</v>
      </c>
      <c r="CS78" s="271">
        <f t="shared" si="249"/>
        <v>0</v>
      </c>
      <c r="CT78" s="271">
        <f t="shared" si="250"/>
        <v>0</v>
      </c>
      <c r="CU78" s="272">
        <f t="shared" si="251"/>
        <v>2070</v>
      </c>
      <c r="CV78" s="273">
        <f t="shared" si="232"/>
        <v>0</v>
      </c>
      <c r="CW78" s="273">
        <f t="shared" si="233"/>
        <v>0</v>
      </c>
      <c r="CX78" s="273">
        <f t="shared" si="234"/>
        <v>0</v>
      </c>
      <c r="CY78" s="273">
        <f>IF(CT77=0,0,IF(CT78&gt;0,0,IF(AND(SUM(CT$7:CT77)&gt;0,SUM(CT78:CT$100)=0),CB$42,0)))</f>
        <v>0</v>
      </c>
      <c r="CZ78" s="273">
        <f>IF(CT77=0,0,IF(CT78&gt;0,0,IF(AND(SUM(CT$7:CT77)&gt;0,SUM(CT78:CT$100)=0),CB$41,0)))</f>
        <v>0</v>
      </c>
      <c r="DA78" s="273">
        <f>IF(SUM(CT$7:CT$100)=0,0,IF(SUM(CT78:CT$100)=0,CZ78-CY78,CM78-SUM(CN78:CR78)-CY78+CZ78))</f>
        <v>0</v>
      </c>
      <c r="DB78" s="274">
        <f t="shared" si="252"/>
        <v>2070</v>
      </c>
      <c r="DC78" s="275">
        <f t="shared" si="254"/>
        <v>0</v>
      </c>
      <c r="DD78" s="275">
        <f t="shared" si="255"/>
        <v>0</v>
      </c>
      <c r="DE78" s="275">
        <f t="shared" si="256"/>
        <v>0</v>
      </c>
      <c r="DF78" s="275">
        <f t="shared" si="257"/>
        <v>0</v>
      </c>
      <c r="DG78" s="360">
        <f t="shared" si="258"/>
        <v>0</v>
      </c>
      <c r="DH78" s="56"/>
      <c r="DI78" s="56"/>
      <c r="DJ78" s="233"/>
      <c r="DK78" s="233"/>
      <c r="DL78" s="37"/>
      <c r="DM78" s="37"/>
      <c r="DN78" s="37"/>
    </row>
    <row r="79" spans="1:118" ht="15">
      <c r="A79" s="206"/>
      <c r="B79" s="9"/>
      <c r="C79" s="9"/>
      <c r="D79" s="236"/>
      <c r="E79" s="236"/>
      <c r="F79" s="238">
        <f t="shared" si="203"/>
        <v>0</v>
      </c>
      <c r="G79" s="329"/>
      <c r="H79" s="239">
        <f t="shared" si="204"/>
        <v>0</v>
      </c>
      <c r="I79" s="351"/>
      <c r="J79" s="240">
        <f t="shared" si="205"/>
        <v>0</v>
      </c>
      <c r="K79" s="329"/>
      <c r="L79" s="241">
        <f t="shared" si="206"/>
        <v>0</v>
      </c>
      <c r="M79" s="326"/>
      <c r="N79" s="242">
        <f t="shared" si="207"/>
        <v>0</v>
      </c>
      <c r="O79" s="326"/>
      <c r="P79" s="243">
        <f t="shared" si="208"/>
        <v>0</v>
      </c>
      <c r="Q79" s="326"/>
      <c r="R79" s="244">
        <f t="shared" si="209"/>
        <v>0</v>
      </c>
      <c r="S79" s="325"/>
      <c r="T79" s="245">
        <f t="shared" si="210"/>
        <v>0</v>
      </c>
      <c r="U79" s="326"/>
      <c r="V79" s="246">
        <f t="shared" si="211"/>
        <v>0</v>
      </c>
      <c r="W79" s="326"/>
      <c r="X79" s="247">
        <f t="shared" si="212"/>
        <v>0</v>
      </c>
      <c r="Y79" s="248">
        <f t="shared" si="213"/>
        <v>0</v>
      </c>
      <c r="Z79" s="249">
        <f t="shared" si="214"/>
        <v>0</v>
      </c>
      <c r="AA79" s="249">
        <f t="shared" si="215"/>
        <v>0</v>
      </c>
      <c r="AB79" s="250">
        <f t="shared" si="216"/>
        <v>0</v>
      </c>
      <c r="AC79" s="250">
        <f t="shared" si="217"/>
        <v>0</v>
      </c>
      <c r="AD79" s="250">
        <f t="shared" si="253"/>
        <v>0</v>
      </c>
      <c r="AE79" s="239">
        <f t="shared" si="218"/>
        <v>0</v>
      </c>
      <c r="AF79" s="251">
        <f t="shared" si="219"/>
        <v>0</v>
      </c>
      <c r="AG79" s="251">
        <f t="shared" si="220"/>
        <v>0</v>
      </c>
      <c r="AH79" s="251">
        <f t="shared" si="235"/>
        <v>0</v>
      </c>
      <c r="AI79" s="251">
        <f t="shared" si="221"/>
        <v>0</v>
      </c>
      <c r="AJ79" s="251">
        <f t="shared" si="222"/>
        <v>0</v>
      </c>
      <c r="AK79" s="251">
        <f t="shared" si="236"/>
        <v>0</v>
      </c>
      <c r="AL79" s="245">
        <f t="shared" si="223"/>
        <v>0</v>
      </c>
      <c r="AM79" s="252">
        <f t="shared" si="237"/>
        <v>0</v>
      </c>
      <c r="AN79" s="252">
        <f t="shared" si="224"/>
        <v>0</v>
      </c>
      <c r="AO79" s="252">
        <f t="shared" si="225"/>
        <v>0</v>
      </c>
      <c r="AP79" s="252">
        <f t="shared" si="226"/>
        <v>0</v>
      </c>
      <c r="AQ79" s="252">
        <f t="shared" si="227"/>
        <v>0</v>
      </c>
      <c r="AR79" s="252">
        <f t="shared" si="238"/>
        <v>0</v>
      </c>
      <c r="AS79" s="131"/>
      <c r="AT79" s="131"/>
      <c r="AU79" s="132"/>
      <c r="AV79" s="37"/>
      <c r="AW79" s="37"/>
      <c r="AX79" s="37"/>
      <c r="AY79" s="347"/>
      <c r="AZ79" s="347"/>
      <c r="BA79" s="131"/>
      <c r="BB79" s="131"/>
      <c r="BC79" s="131"/>
      <c r="BD79" s="131"/>
      <c r="BE79" s="133"/>
      <c r="BF79" s="341"/>
      <c r="BG79" s="342"/>
      <c r="BH79" s="343"/>
      <c r="BI79" s="344"/>
      <c r="BJ79" s="345"/>
      <c r="BK79" s="346"/>
      <c r="BL79" s="135"/>
      <c r="BM79" s="341"/>
      <c r="BN79" s="342"/>
      <c r="BO79" s="343"/>
      <c r="BP79" s="344"/>
      <c r="BQ79" s="345"/>
      <c r="BR79" s="346"/>
      <c r="BS79" s="136"/>
      <c r="BT79" s="341"/>
      <c r="BU79" s="342"/>
      <c r="BV79" s="343"/>
      <c r="BW79" s="344"/>
      <c r="BX79" s="345"/>
      <c r="BY79" s="346"/>
      <c r="BZ79" s="156"/>
      <c r="CA79" s="156"/>
      <c r="CB79" s="156"/>
      <c r="CC79" s="266">
        <f t="shared" si="239"/>
        <v>2071</v>
      </c>
      <c r="CD79" s="267">
        <f t="shared" si="260"/>
        <v>0</v>
      </c>
      <c r="CE79" s="267">
        <f t="shared" si="240"/>
        <v>0</v>
      </c>
      <c r="CF79" s="267">
        <f t="shared" si="241"/>
        <v>0</v>
      </c>
      <c r="CG79" s="267">
        <f t="shared" si="259"/>
        <v>0</v>
      </c>
      <c r="CH79" s="267">
        <f t="shared" si="242"/>
        <v>0</v>
      </c>
      <c r="CI79" s="267">
        <f t="shared" si="243"/>
        <v>0</v>
      </c>
      <c r="CJ79" s="269">
        <f t="shared" si="244"/>
        <v>32.15879064574698</v>
      </c>
      <c r="CK79" s="269">
        <f t="shared" si="245"/>
        <v>3.9741412407799834</v>
      </c>
      <c r="CL79" s="270">
        <f t="shared" si="246"/>
        <v>2071</v>
      </c>
      <c r="CM79" s="271">
        <f t="shared" si="228"/>
        <v>0</v>
      </c>
      <c r="CN79" s="271">
        <f t="shared" si="247"/>
        <v>0</v>
      </c>
      <c r="CO79" s="271">
        <f t="shared" si="248"/>
        <v>0</v>
      </c>
      <c r="CP79" s="271">
        <f t="shared" si="229"/>
        <v>0</v>
      </c>
      <c r="CQ79" s="271">
        <f t="shared" si="230"/>
        <v>0</v>
      </c>
      <c r="CR79" s="271">
        <f t="shared" si="231"/>
        <v>0</v>
      </c>
      <c r="CS79" s="271">
        <f t="shared" si="249"/>
        <v>0</v>
      </c>
      <c r="CT79" s="271">
        <f t="shared" si="250"/>
        <v>0</v>
      </c>
      <c r="CU79" s="272">
        <f t="shared" si="251"/>
        <v>2071</v>
      </c>
      <c r="CV79" s="273">
        <f t="shared" si="232"/>
        <v>0</v>
      </c>
      <c r="CW79" s="273">
        <f t="shared" si="233"/>
        <v>0</v>
      </c>
      <c r="CX79" s="273">
        <f t="shared" si="234"/>
        <v>0</v>
      </c>
      <c r="CY79" s="273">
        <f>IF(CT78=0,0,IF(CT79&gt;0,0,IF(AND(SUM(CT$7:CT78)&gt;0,SUM(CT79:CT$100)=0),CB$42,0)))</f>
        <v>0</v>
      </c>
      <c r="CZ79" s="273">
        <f>IF(CT78=0,0,IF(CT79&gt;0,0,IF(AND(SUM(CT$7:CT78)&gt;0,SUM(CT79:CT$100)=0),CB$41,0)))</f>
        <v>0</v>
      </c>
      <c r="DA79" s="273">
        <f>IF(SUM(CT$7:CT$100)=0,0,IF(SUM(CT79:CT$100)=0,CZ79-CY79,CM79-SUM(CN79:CR79)-CY79+CZ79))</f>
        <v>0</v>
      </c>
      <c r="DB79" s="274">
        <f t="shared" si="252"/>
        <v>2071</v>
      </c>
      <c r="DC79" s="275">
        <f t="shared" si="254"/>
        <v>0</v>
      </c>
      <c r="DD79" s="275">
        <f t="shared" si="255"/>
        <v>0</v>
      </c>
      <c r="DE79" s="275">
        <f t="shared" si="256"/>
        <v>0</v>
      </c>
      <c r="DF79" s="275">
        <f t="shared" si="257"/>
        <v>0</v>
      </c>
      <c r="DG79" s="360">
        <f t="shared" si="258"/>
        <v>0</v>
      </c>
      <c r="DH79" s="56"/>
      <c r="DI79" s="56"/>
      <c r="DJ79" s="233"/>
      <c r="DK79" s="233"/>
      <c r="DL79" s="37"/>
      <c r="DM79" s="37"/>
      <c r="DN79" s="37"/>
    </row>
    <row r="80" spans="1:118" ht="15">
      <c r="A80" s="206"/>
      <c r="B80" s="9"/>
      <c r="C80" s="9"/>
      <c r="D80" s="236"/>
      <c r="E80" s="236"/>
      <c r="F80" s="238">
        <f t="shared" si="203"/>
        <v>0</v>
      </c>
      <c r="G80" s="329"/>
      <c r="H80" s="239">
        <f t="shared" si="204"/>
        <v>0</v>
      </c>
      <c r="I80" s="351"/>
      <c r="J80" s="240">
        <f t="shared" si="205"/>
        <v>0</v>
      </c>
      <c r="K80" s="329"/>
      <c r="L80" s="241">
        <f t="shared" si="206"/>
        <v>0</v>
      </c>
      <c r="M80" s="326"/>
      <c r="N80" s="242">
        <f t="shared" si="207"/>
        <v>0</v>
      </c>
      <c r="O80" s="326"/>
      <c r="P80" s="243">
        <f t="shared" si="208"/>
        <v>0</v>
      </c>
      <c r="Q80" s="326"/>
      <c r="R80" s="244">
        <f t="shared" si="209"/>
        <v>0</v>
      </c>
      <c r="S80" s="325"/>
      <c r="T80" s="245">
        <f t="shared" si="210"/>
        <v>0</v>
      </c>
      <c r="U80" s="326"/>
      <c r="V80" s="246">
        <f t="shared" si="211"/>
        <v>0</v>
      </c>
      <c r="W80" s="326"/>
      <c r="X80" s="247">
        <f t="shared" si="212"/>
        <v>0</v>
      </c>
      <c r="Y80" s="248">
        <f t="shared" si="213"/>
        <v>0</v>
      </c>
      <c r="Z80" s="249">
        <f t="shared" si="214"/>
        <v>0</v>
      </c>
      <c r="AA80" s="249">
        <f t="shared" si="215"/>
        <v>0</v>
      </c>
      <c r="AB80" s="250">
        <f t="shared" si="216"/>
        <v>0</v>
      </c>
      <c r="AC80" s="250">
        <f t="shared" si="217"/>
        <v>0</v>
      </c>
      <c r="AD80" s="250">
        <f t="shared" si="253"/>
        <v>0</v>
      </c>
      <c r="AE80" s="239">
        <f t="shared" si="218"/>
        <v>0</v>
      </c>
      <c r="AF80" s="251">
        <f t="shared" si="219"/>
        <v>0</v>
      </c>
      <c r="AG80" s="251">
        <f t="shared" si="220"/>
        <v>0</v>
      </c>
      <c r="AH80" s="251">
        <f t="shared" si="235"/>
        <v>0</v>
      </c>
      <c r="AI80" s="251">
        <f t="shared" si="221"/>
        <v>0</v>
      </c>
      <c r="AJ80" s="251">
        <f t="shared" si="222"/>
        <v>0</v>
      </c>
      <c r="AK80" s="251">
        <f t="shared" si="236"/>
        <v>0</v>
      </c>
      <c r="AL80" s="245">
        <f t="shared" si="223"/>
        <v>0</v>
      </c>
      <c r="AM80" s="252">
        <f t="shared" si="237"/>
        <v>0</v>
      </c>
      <c r="AN80" s="252">
        <f t="shared" si="224"/>
        <v>0</v>
      </c>
      <c r="AO80" s="252">
        <f t="shared" si="225"/>
        <v>0</v>
      </c>
      <c r="AP80" s="252">
        <f t="shared" si="226"/>
        <v>0</v>
      </c>
      <c r="AQ80" s="252">
        <f t="shared" si="227"/>
        <v>0</v>
      </c>
      <c r="AR80" s="252">
        <f t="shared" si="238"/>
        <v>0</v>
      </c>
      <c r="AS80" s="131"/>
      <c r="AT80" s="131"/>
      <c r="AU80" s="132"/>
      <c r="AV80" s="37"/>
      <c r="AW80" s="37"/>
      <c r="AX80" s="37"/>
      <c r="AY80" s="347"/>
      <c r="AZ80" s="347"/>
      <c r="BA80" s="131"/>
      <c r="BB80" s="131"/>
      <c r="BC80" s="131"/>
      <c r="BD80" s="131"/>
      <c r="BE80" s="133"/>
      <c r="BF80" s="341"/>
      <c r="BG80" s="342"/>
      <c r="BH80" s="343"/>
      <c r="BI80" s="344"/>
      <c r="BJ80" s="345"/>
      <c r="BK80" s="346"/>
      <c r="BL80" s="135"/>
      <c r="BM80" s="341"/>
      <c r="BN80" s="342"/>
      <c r="BO80" s="343"/>
      <c r="BP80" s="344"/>
      <c r="BQ80" s="345"/>
      <c r="BR80" s="346"/>
      <c r="BS80" s="136"/>
      <c r="BT80" s="341"/>
      <c r="BU80" s="342"/>
      <c r="BV80" s="343"/>
      <c r="BW80" s="344"/>
      <c r="BX80" s="345"/>
      <c r="BY80" s="346"/>
      <c r="BZ80" s="156"/>
      <c r="CA80" s="156"/>
      <c r="CB80" s="156"/>
      <c r="CC80" s="266">
        <f t="shared" si="239"/>
        <v>2072</v>
      </c>
      <c r="CD80" s="267">
        <f t="shared" si="260"/>
        <v>0</v>
      </c>
      <c r="CE80" s="267">
        <f t="shared" si="240"/>
        <v>0</v>
      </c>
      <c r="CF80" s="267">
        <f t="shared" si="241"/>
        <v>0</v>
      </c>
      <c r="CG80" s="267">
        <f t="shared" si="259"/>
        <v>0</v>
      </c>
      <c r="CH80" s="267">
        <f t="shared" si="242"/>
        <v>0</v>
      </c>
      <c r="CI80" s="267">
        <f t="shared" si="243"/>
        <v>0</v>
      </c>
      <c r="CJ80" s="269">
        <f t="shared" si="244"/>
        <v>32.38390218026721</v>
      </c>
      <c r="CK80" s="269">
        <f t="shared" si="245"/>
        <v>3.9979860882246627</v>
      </c>
      <c r="CL80" s="270">
        <f t="shared" si="246"/>
        <v>2072</v>
      </c>
      <c r="CM80" s="271">
        <f t="shared" si="228"/>
        <v>0</v>
      </c>
      <c r="CN80" s="271">
        <f t="shared" si="247"/>
        <v>0</v>
      </c>
      <c r="CO80" s="271">
        <f t="shared" si="248"/>
        <v>0</v>
      </c>
      <c r="CP80" s="271">
        <f t="shared" si="229"/>
        <v>0</v>
      </c>
      <c r="CQ80" s="271">
        <f t="shared" si="230"/>
        <v>0</v>
      </c>
      <c r="CR80" s="271">
        <f t="shared" si="231"/>
        <v>0</v>
      </c>
      <c r="CS80" s="271">
        <f t="shared" si="249"/>
        <v>0</v>
      </c>
      <c r="CT80" s="271">
        <f t="shared" si="250"/>
        <v>0</v>
      </c>
      <c r="CU80" s="272">
        <f t="shared" si="251"/>
        <v>2072</v>
      </c>
      <c r="CV80" s="273">
        <f t="shared" si="232"/>
        <v>0</v>
      </c>
      <c r="CW80" s="273">
        <f t="shared" si="233"/>
        <v>0</v>
      </c>
      <c r="CX80" s="273">
        <f t="shared" si="234"/>
        <v>0</v>
      </c>
      <c r="CY80" s="273">
        <f>IF(CT79=0,0,IF(CT80&gt;0,0,IF(AND(SUM(CT$7:CT79)&gt;0,SUM(CT80:CT$100)=0),CB$42,0)))</f>
        <v>0</v>
      </c>
      <c r="CZ80" s="273">
        <f>IF(CT79=0,0,IF(CT80&gt;0,0,IF(AND(SUM(CT$7:CT79)&gt;0,SUM(CT80:CT$100)=0),CB$41,0)))</f>
        <v>0</v>
      </c>
      <c r="DA80" s="273">
        <f>IF(SUM(CT$7:CT$100)=0,0,IF(SUM(CT80:CT$100)=0,CZ80-CY80,CM80-SUM(CN80:CR80)-CY80+CZ80))</f>
        <v>0</v>
      </c>
      <c r="DB80" s="274">
        <f t="shared" si="252"/>
        <v>2072</v>
      </c>
      <c r="DC80" s="275">
        <f t="shared" si="254"/>
        <v>0</v>
      </c>
      <c r="DD80" s="275">
        <f t="shared" si="255"/>
        <v>0</v>
      </c>
      <c r="DE80" s="275">
        <f t="shared" si="256"/>
        <v>0</v>
      </c>
      <c r="DF80" s="275">
        <f t="shared" si="257"/>
        <v>0</v>
      </c>
      <c r="DG80" s="360">
        <f t="shared" si="258"/>
        <v>0</v>
      </c>
      <c r="DH80" s="56"/>
      <c r="DI80" s="56"/>
      <c r="DJ80" s="233"/>
      <c r="DK80" s="233"/>
      <c r="DL80" s="37"/>
      <c r="DM80" s="37"/>
      <c r="DN80" s="37"/>
    </row>
    <row r="81" spans="1:118" ht="15">
      <c r="A81" s="206"/>
      <c r="B81" s="9"/>
      <c r="C81" s="9"/>
      <c r="D81" s="236"/>
      <c r="E81" s="236"/>
      <c r="F81" s="238">
        <f t="shared" si="203"/>
        <v>0</v>
      </c>
      <c r="G81" s="329"/>
      <c r="H81" s="239">
        <f t="shared" si="204"/>
        <v>0</v>
      </c>
      <c r="I81" s="351"/>
      <c r="J81" s="240">
        <f t="shared" si="205"/>
        <v>0</v>
      </c>
      <c r="K81" s="329"/>
      <c r="L81" s="241">
        <f t="shared" si="206"/>
        <v>0</v>
      </c>
      <c r="M81" s="326"/>
      <c r="N81" s="242">
        <f t="shared" si="207"/>
        <v>0</v>
      </c>
      <c r="O81" s="326"/>
      <c r="P81" s="243">
        <f t="shared" si="208"/>
        <v>0</v>
      </c>
      <c r="Q81" s="326"/>
      <c r="R81" s="244">
        <f t="shared" si="209"/>
        <v>0</v>
      </c>
      <c r="S81" s="325"/>
      <c r="T81" s="245">
        <f t="shared" si="210"/>
        <v>0</v>
      </c>
      <c r="U81" s="326"/>
      <c r="V81" s="246">
        <f t="shared" si="211"/>
        <v>0</v>
      </c>
      <c r="W81" s="326"/>
      <c r="X81" s="247">
        <f t="shared" si="212"/>
        <v>0</v>
      </c>
      <c r="Y81" s="248">
        <f t="shared" si="213"/>
        <v>0</v>
      </c>
      <c r="Z81" s="249">
        <f t="shared" si="214"/>
        <v>0</v>
      </c>
      <c r="AA81" s="249">
        <f t="shared" si="215"/>
        <v>0</v>
      </c>
      <c r="AB81" s="250">
        <f t="shared" si="216"/>
        <v>0</v>
      </c>
      <c r="AC81" s="250">
        <f t="shared" si="217"/>
        <v>0</v>
      </c>
      <c r="AD81" s="250">
        <f t="shared" si="253"/>
        <v>0</v>
      </c>
      <c r="AE81" s="239">
        <f t="shared" si="218"/>
        <v>0</v>
      </c>
      <c r="AF81" s="251">
        <f t="shared" si="219"/>
        <v>0</v>
      </c>
      <c r="AG81" s="251">
        <f t="shared" si="220"/>
        <v>0</v>
      </c>
      <c r="AH81" s="251">
        <f t="shared" si="235"/>
        <v>0</v>
      </c>
      <c r="AI81" s="251">
        <f t="shared" si="221"/>
        <v>0</v>
      </c>
      <c r="AJ81" s="251">
        <f t="shared" si="222"/>
        <v>0</v>
      </c>
      <c r="AK81" s="251">
        <f t="shared" si="236"/>
        <v>0</v>
      </c>
      <c r="AL81" s="245">
        <f t="shared" si="223"/>
        <v>0</v>
      </c>
      <c r="AM81" s="252">
        <f t="shared" si="237"/>
        <v>0</v>
      </c>
      <c r="AN81" s="252">
        <f t="shared" si="224"/>
        <v>0</v>
      </c>
      <c r="AO81" s="252">
        <f t="shared" si="225"/>
        <v>0</v>
      </c>
      <c r="AP81" s="252">
        <f t="shared" si="226"/>
        <v>0</v>
      </c>
      <c r="AQ81" s="252">
        <f t="shared" si="227"/>
        <v>0</v>
      </c>
      <c r="AR81" s="252">
        <f t="shared" si="238"/>
        <v>0</v>
      </c>
      <c r="AS81" s="131"/>
      <c r="AT81" s="131"/>
      <c r="AU81" s="132"/>
      <c r="AV81" s="37"/>
      <c r="AW81" s="37"/>
      <c r="AX81" s="37"/>
      <c r="AY81" s="347"/>
      <c r="AZ81" s="347"/>
      <c r="BA81" s="131"/>
      <c r="BB81" s="131"/>
      <c r="BC81" s="131"/>
      <c r="BD81" s="131"/>
      <c r="BE81" s="133"/>
      <c r="BF81" s="341"/>
      <c r="BG81" s="342"/>
      <c r="BH81" s="343"/>
      <c r="BI81" s="344"/>
      <c r="BJ81" s="345"/>
      <c r="BK81" s="346"/>
      <c r="BL81" s="135"/>
      <c r="BM81" s="341"/>
      <c r="BN81" s="342"/>
      <c r="BO81" s="343"/>
      <c r="BP81" s="344"/>
      <c r="BQ81" s="345"/>
      <c r="BR81" s="346"/>
      <c r="BS81" s="136"/>
      <c r="BT81" s="341"/>
      <c r="BU81" s="342"/>
      <c r="BV81" s="343"/>
      <c r="BW81" s="344"/>
      <c r="BX81" s="345"/>
      <c r="BY81" s="346"/>
      <c r="BZ81" s="156"/>
      <c r="CA81" s="156"/>
      <c r="CB81" s="156"/>
      <c r="CC81" s="266">
        <f t="shared" si="239"/>
        <v>2073</v>
      </c>
      <c r="CD81" s="267">
        <f t="shared" si="260"/>
        <v>0</v>
      </c>
      <c r="CE81" s="267">
        <f t="shared" si="240"/>
        <v>0</v>
      </c>
      <c r="CF81" s="267">
        <f t="shared" si="241"/>
        <v>0</v>
      </c>
      <c r="CG81" s="267">
        <f t="shared" si="259"/>
        <v>0</v>
      </c>
      <c r="CH81" s="267">
        <f t="shared" si="242"/>
        <v>0</v>
      </c>
      <c r="CI81" s="267">
        <f t="shared" si="243"/>
        <v>0</v>
      </c>
      <c r="CJ81" s="269">
        <f t="shared" si="244"/>
        <v>32.61058949552907</v>
      </c>
      <c r="CK81" s="269">
        <f t="shared" si="245"/>
        <v>4.021974004754012</v>
      </c>
      <c r="CL81" s="270">
        <f t="shared" si="246"/>
        <v>2073</v>
      </c>
      <c r="CM81" s="271">
        <f t="shared" si="228"/>
        <v>0</v>
      </c>
      <c r="CN81" s="271">
        <f t="shared" si="247"/>
        <v>0</v>
      </c>
      <c r="CO81" s="271">
        <f t="shared" si="248"/>
        <v>0</v>
      </c>
      <c r="CP81" s="271">
        <f t="shared" si="229"/>
        <v>0</v>
      </c>
      <c r="CQ81" s="271">
        <f t="shared" si="230"/>
        <v>0</v>
      </c>
      <c r="CR81" s="271">
        <f t="shared" si="231"/>
        <v>0</v>
      </c>
      <c r="CS81" s="271">
        <f t="shared" si="249"/>
        <v>0</v>
      </c>
      <c r="CT81" s="271">
        <f t="shared" si="250"/>
        <v>0</v>
      </c>
      <c r="CU81" s="272">
        <f t="shared" si="251"/>
        <v>2073</v>
      </c>
      <c r="CV81" s="273">
        <f t="shared" si="232"/>
        <v>0</v>
      </c>
      <c r="CW81" s="273">
        <f t="shared" si="233"/>
        <v>0</v>
      </c>
      <c r="CX81" s="273">
        <f t="shared" si="234"/>
        <v>0</v>
      </c>
      <c r="CY81" s="273">
        <f>IF(CT80=0,0,IF(CT81&gt;0,0,IF(AND(SUM(CT$7:CT80)&gt;0,SUM(CT81:CT$100)=0),CB$42,0)))</f>
        <v>0</v>
      </c>
      <c r="CZ81" s="273">
        <f>IF(CT80=0,0,IF(CT81&gt;0,0,IF(AND(SUM(CT$7:CT80)&gt;0,SUM(CT81:CT$100)=0),CB$41,0)))</f>
        <v>0</v>
      </c>
      <c r="DA81" s="273">
        <f>IF(SUM(CT$7:CT$100)=0,0,IF(SUM(CT81:CT$100)=0,CZ81-CY81,CM81-SUM(CN81:CR81)-CY81+CZ81))</f>
        <v>0</v>
      </c>
      <c r="DB81" s="274">
        <f t="shared" si="252"/>
        <v>2073</v>
      </c>
      <c r="DC81" s="275">
        <f t="shared" si="254"/>
        <v>0</v>
      </c>
      <c r="DD81" s="275">
        <f t="shared" si="255"/>
        <v>0</v>
      </c>
      <c r="DE81" s="275">
        <f t="shared" si="256"/>
        <v>0</v>
      </c>
      <c r="DF81" s="275">
        <f t="shared" si="257"/>
        <v>0</v>
      </c>
      <c r="DG81" s="360">
        <f t="shared" si="258"/>
        <v>0</v>
      </c>
      <c r="DH81" s="56"/>
      <c r="DI81" s="56"/>
      <c r="DJ81" s="233"/>
      <c r="DK81" s="233"/>
      <c r="DL81" s="37"/>
      <c r="DM81" s="37"/>
      <c r="DN81" s="37"/>
    </row>
    <row r="82" spans="1:118" ht="15">
      <c r="A82" s="206"/>
      <c r="B82" s="9"/>
      <c r="C82" s="9"/>
      <c r="D82" s="236"/>
      <c r="E82" s="236"/>
      <c r="F82" s="238">
        <f t="shared" si="203"/>
        <v>0</v>
      </c>
      <c r="G82" s="329"/>
      <c r="H82" s="239">
        <f t="shared" si="204"/>
        <v>0</v>
      </c>
      <c r="I82" s="351"/>
      <c r="J82" s="240">
        <f t="shared" si="205"/>
        <v>0</v>
      </c>
      <c r="K82" s="329"/>
      <c r="L82" s="241">
        <f t="shared" si="206"/>
        <v>0</v>
      </c>
      <c r="M82" s="326"/>
      <c r="N82" s="242">
        <f t="shared" si="207"/>
        <v>0</v>
      </c>
      <c r="O82" s="326"/>
      <c r="P82" s="243">
        <f t="shared" si="208"/>
        <v>0</v>
      </c>
      <c r="Q82" s="326"/>
      <c r="R82" s="244">
        <f t="shared" si="209"/>
        <v>0</v>
      </c>
      <c r="S82" s="325"/>
      <c r="T82" s="245">
        <f t="shared" si="210"/>
        <v>0</v>
      </c>
      <c r="U82" s="326"/>
      <c r="V82" s="246">
        <f t="shared" si="211"/>
        <v>0</v>
      </c>
      <c r="W82" s="326"/>
      <c r="X82" s="247">
        <f t="shared" si="212"/>
        <v>0</v>
      </c>
      <c r="Y82" s="248">
        <f t="shared" si="213"/>
        <v>0</v>
      </c>
      <c r="Z82" s="249">
        <f t="shared" si="214"/>
        <v>0</v>
      </c>
      <c r="AA82" s="249">
        <f t="shared" si="215"/>
        <v>0</v>
      </c>
      <c r="AB82" s="250">
        <f t="shared" si="216"/>
        <v>0</v>
      </c>
      <c r="AC82" s="250">
        <f t="shared" si="217"/>
        <v>0</v>
      </c>
      <c r="AD82" s="250">
        <f t="shared" si="253"/>
        <v>0</v>
      </c>
      <c r="AE82" s="239">
        <f t="shared" si="218"/>
        <v>0</v>
      </c>
      <c r="AF82" s="251">
        <f t="shared" si="219"/>
        <v>0</v>
      </c>
      <c r="AG82" s="251">
        <f t="shared" si="220"/>
        <v>0</v>
      </c>
      <c r="AH82" s="251">
        <f t="shared" si="235"/>
        <v>0</v>
      </c>
      <c r="AI82" s="251">
        <f t="shared" si="221"/>
        <v>0</v>
      </c>
      <c r="AJ82" s="251">
        <f t="shared" si="222"/>
        <v>0</v>
      </c>
      <c r="AK82" s="251">
        <f t="shared" si="236"/>
        <v>0</v>
      </c>
      <c r="AL82" s="245">
        <f t="shared" si="223"/>
        <v>0</v>
      </c>
      <c r="AM82" s="252">
        <f t="shared" si="237"/>
        <v>0</v>
      </c>
      <c r="AN82" s="252">
        <f t="shared" si="224"/>
        <v>0</v>
      </c>
      <c r="AO82" s="252">
        <f t="shared" si="225"/>
        <v>0</v>
      </c>
      <c r="AP82" s="252">
        <f t="shared" si="226"/>
        <v>0</v>
      </c>
      <c r="AQ82" s="252">
        <f t="shared" si="227"/>
        <v>0</v>
      </c>
      <c r="AR82" s="252">
        <f t="shared" si="238"/>
        <v>0</v>
      </c>
      <c r="AS82" s="131"/>
      <c r="AT82" s="131"/>
      <c r="AU82" s="132"/>
      <c r="AV82" s="37"/>
      <c r="AW82" s="37"/>
      <c r="AX82" s="37"/>
      <c r="AY82" s="347"/>
      <c r="AZ82" s="347"/>
      <c r="BA82" s="130"/>
      <c r="BB82" s="130"/>
      <c r="BC82" s="130"/>
      <c r="BD82" s="130"/>
      <c r="BE82" s="133"/>
      <c r="BF82" s="341"/>
      <c r="BG82" s="342"/>
      <c r="BH82" s="343"/>
      <c r="BI82" s="344"/>
      <c r="BJ82" s="345"/>
      <c r="BK82" s="346"/>
      <c r="BL82" s="135"/>
      <c r="BM82" s="341"/>
      <c r="BN82" s="342"/>
      <c r="BO82" s="343"/>
      <c r="BP82" s="344"/>
      <c r="BQ82" s="345"/>
      <c r="BR82" s="346"/>
      <c r="BS82" s="136"/>
      <c r="BT82" s="341"/>
      <c r="BU82" s="342"/>
      <c r="BV82" s="343"/>
      <c r="BW82" s="344"/>
      <c r="BX82" s="345"/>
      <c r="BY82" s="346"/>
      <c r="BZ82" s="156"/>
      <c r="CA82" s="156"/>
      <c r="CB82" s="156"/>
      <c r="CC82" s="266">
        <f t="shared" si="239"/>
        <v>2074</v>
      </c>
      <c r="CD82" s="267">
        <f t="shared" si="260"/>
        <v>0</v>
      </c>
      <c r="CE82" s="267">
        <f t="shared" si="240"/>
        <v>0</v>
      </c>
      <c r="CF82" s="267">
        <f t="shared" si="241"/>
        <v>0</v>
      </c>
      <c r="CG82" s="267">
        <f t="shared" si="259"/>
        <v>0</v>
      </c>
      <c r="CH82" s="267">
        <f t="shared" si="242"/>
        <v>0</v>
      </c>
      <c r="CI82" s="267">
        <f t="shared" si="243"/>
        <v>0</v>
      </c>
      <c r="CJ82" s="269">
        <f t="shared" si="244"/>
        <v>32.83886362199776</v>
      </c>
      <c r="CK82" s="269">
        <f t="shared" si="245"/>
        <v>4.046105848782536</v>
      </c>
      <c r="CL82" s="270">
        <f t="shared" si="246"/>
        <v>2074</v>
      </c>
      <c r="CM82" s="271">
        <f t="shared" si="228"/>
        <v>0</v>
      </c>
      <c r="CN82" s="271">
        <f t="shared" si="247"/>
        <v>0</v>
      </c>
      <c r="CO82" s="271">
        <f t="shared" si="248"/>
        <v>0</v>
      </c>
      <c r="CP82" s="271">
        <f t="shared" si="229"/>
        <v>0</v>
      </c>
      <c r="CQ82" s="271">
        <f t="shared" si="230"/>
        <v>0</v>
      </c>
      <c r="CR82" s="271">
        <f t="shared" si="231"/>
        <v>0</v>
      </c>
      <c r="CS82" s="271">
        <f t="shared" si="249"/>
        <v>0</v>
      </c>
      <c r="CT82" s="271">
        <f t="shared" si="250"/>
        <v>0</v>
      </c>
      <c r="CU82" s="272">
        <f t="shared" si="251"/>
        <v>2074</v>
      </c>
      <c r="CV82" s="273">
        <f t="shared" si="232"/>
        <v>0</v>
      </c>
      <c r="CW82" s="273">
        <f t="shared" si="233"/>
        <v>0</v>
      </c>
      <c r="CX82" s="273">
        <f t="shared" si="234"/>
        <v>0</v>
      </c>
      <c r="CY82" s="273">
        <f>IF(CT81=0,0,IF(CT82&gt;0,0,IF(AND(SUM(CT$7:CT81)&gt;0,SUM(CT82:CT$100)=0),CB$42,0)))</f>
        <v>0</v>
      </c>
      <c r="CZ82" s="273">
        <f>IF(CT81=0,0,IF(CT82&gt;0,0,IF(AND(SUM(CT$7:CT81)&gt;0,SUM(CT82:CT$100)=0),CB$41,0)))</f>
        <v>0</v>
      </c>
      <c r="DA82" s="273">
        <f>IF(SUM(CT$7:CT$100)=0,0,IF(SUM(CT82:CT$100)=0,CZ82-CY82,CM82-SUM(CN82:CR82)-CY82+CZ82))</f>
        <v>0</v>
      </c>
      <c r="DB82" s="274">
        <f t="shared" si="252"/>
        <v>2074</v>
      </c>
      <c r="DC82" s="275">
        <f t="shared" si="254"/>
        <v>0</v>
      </c>
      <c r="DD82" s="275">
        <f t="shared" si="255"/>
        <v>0</v>
      </c>
      <c r="DE82" s="275">
        <f t="shared" si="256"/>
        <v>0</v>
      </c>
      <c r="DF82" s="275">
        <f t="shared" si="257"/>
        <v>0</v>
      </c>
      <c r="DG82" s="360">
        <f t="shared" si="258"/>
        <v>0</v>
      </c>
      <c r="DH82" s="56"/>
      <c r="DI82" s="56"/>
      <c r="DJ82" s="233"/>
      <c r="DK82" s="233"/>
      <c r="DL82" s="37"/>
      <c r="DM82" s="37"/>
      <c r="DN82" s="37"/>
    </row>
    <row r="83" spans="1:118" ht="15">
      <c r="A83" s="206"/>
      <c r="B83" s="9"/>
      <c r="C83" s="9"/>
      <c r="D83" s="236"/>
      <c r="E83" s="236"/>
      <c r="F83" s="238">
        <f t="shared" si="203"/>
        <v>0</v>
      </c>
      <c r="G83" s="329"/>
      <c r="H83" s="239">
        <f t="shared" si="204"/>
        <v>0</v>
      </c>
      <c r="I83" s="351"/>
      <c r="J83" s="240">
        <f t="shared" si="205"/>
        <v>0</v>
      </c>
      <c r="K83" s="329"/>
      <c r="L83" s="241">
        <f t="shared" si="206"/>
        <v>0</v>
      </c>
      <c r="M83" s="326"/>
      <c r="N83" s="242">
        <f t="shared" si="207"/>
        <v>0</v>
      </c>
      <c r="O83" s="326"/>
      <c r="P83" s="243">
        <f t="shared" si="208"/>
        <v>0</v>
      </c>
      <c r="Q83" s="326"/>
      <c r="R83" s="244">
        <f t="shared" si="209"/>
        <v>0</v>
      </c>
      <c r="S83" s="325"/>
      <c r="T83" s="245">
        <f t="shared" si="210"/>
        <v>0</v>
      </c>
      <c r="U83" s="326"/>
      <c r="V83" s="246">
        <f t="shared" si="211"/>
        <v>0</v>
      </c>
      <c r="W83" s="326"/>
      <c r="X83" s="247">
        <f t="shared" si="212"/>
        <v>0</v>
      </c>
      <c r="Y83" s="248">
        <f t="shared" si="213"/>
        <v>0</v>
      </c>
      <c r="Z83" s="249">
        <f t="shared" si="214"/>
        <v>0</v>
      </c>
      <c r="AA83" s="249">
        <f t="shared" si="215"/>
        <v>0</v>
      </c>
      <c r="AB83" s="250">
        <f t="shared" si="216"/>
        <v>0</v>
      </c>
      <c r="AC83" s="250">
        <f t="shared" si="217"/>
        <v>0</v>
      </c>
      <c r="AD83" s="250">
        <f t="shared" si="253"/>
        <v>0</v>
      </c>
      <c r="AE83" s="239">
        <f t="shared" si="218"/>
        <v>0</v>
      </c>
      <c r="AF83" s="251">
        <f t="shared" si="219"/>
        <v>0</v>
      </c>
      <c r="AG83" s="251">
        <f t="shared" si="220"/>
        <v>0</v>
      </c>
      <c r="AH83" s="251">
        <f t="shared" si="235"/>
        <v>0</v>
      </c>
      <c r="AI83" s="251">
        <f t="shared" si="221"/>
        <v>0</v>
      </c>
      <c r="AJ83" s="251">
        <f t="shared" si="222"/>
        <v>0</v>
      </c>
      <c r="AK83" s="251">
        <f t="shared" si="236"/>
        <v>0</v>
      </c>
      <c r="AL83" s="245">
        <f t="shared" si="223"/>
        <v>0</v>
      </c>
      <c r="AM83" s="252">
        <f t="shared" si="237"/>
        <v>0</v>
      </c>
      <c r="AN83" s="252">
        <f t="shared" si="224"/>
        <v>0</v>
      </c>
      <c r="AO83" s="252">
        <f t="shared" si="225"/>
        <v>0</v>
      </c>
      <c r="AP83" s="252">
        <f t="shared" si="226"/>
        <v>0</v>
      </c>
      <c r="AQ83" s="252">
        <f t="shared" si="227"/>
        <v>0</v>
      </c>
      <c r="AR83" s="252">
        <f t="shared" si="238"/>
        <v>0</v>
      </c>
      <c r="AS83" s="131"/>
      <c r="AT83" s="131"/>
      <c r="AU83" s="132"/>
      <c r="AV83" s="37"/>
      <c r="AW83" s="37"/>
      <c r="AX83" s="37"/>
      <c r="AY83" s="347"/>
      <c r="AZ83" s="347"/>
      <c r="BA83" s="131"/>
      <c r="BB83" s="131"/>
      <c r="BC83" s="131"/>
      <c r="BD83" s="131"/>
      <c r="BE83" s="133"/>
      <c r="BF83" s="341"/>
      <c r="BG83" s="342"/>
      <c r="BH83" s="343"/>
      <c r="BI83" s="344"/>
      <c r="BJ83" s="345"/>
      <c r="BK83" s="346"/>
      <c r="BL83" s="135"/>
      <c r="BM83" s="341"/>
      <c r="BN83" s="342"/>
      <c r="BO83" s="343"/>
      <c r="BP83" s="344"/>
      <c r="BQ83" s="345"/>
      <c r="BR83" s="346"/>
      <c r="BS83" s="136"/>
      <c r="BT83" s="341"/>
      <c r="BU83" s="342"/>
      <c r="BV83" s="343"/>
      <c r="BW83" s="344"/>
      <c r="BX83" s="345"/>
      <c r="BY83" s="346"/>
      <c r="BZ83" s="156"/>
      <c r="CA83" s="156"/>
      <c r="CB83" s="156"/>
      <c r="CC83" s="266">
        <f t="shared" si="239"/>
        <v>2075</v>
      </c>
      <c r="CD83" s="267">
        <f t="shared" si="260"/>
        <v>0</v>
      </c>
      <c r="CE83" s="267">
        <f t="shared" si="240"/>
        <v>0</v>
      </c>
      <c r="CF83" s="267">
        <f t="shared" si="241"/>
        <v>0</v>
      </c>
      <c r="CG83" s="267">
        <f t="shared" si="259"/>
        <v>0</v>
      </c>
      <c r="CH83" s="267">
        <f t="shared" si="242"/>
        <v>0</v>
      </c>
      <c r="CI83" s="267">
        <f t="shared" si="243"/>
        <v>0</v>
      </c>
      <c r="CJ83" s="269">
        <f t="shared" si="244"/>
        <v>33.06873566735175</v>
      </c>
      <c r="CK83" s="269">
        <f t="shared" si="245"/>
        <v>4.070382483875231</v>
      </c>
      <c r="CL83" s="270">
        <f t="shared" si="246"/>
        <v>2075</v>
      </c>
      <c r="CM83" s="271">
        <f t="shared" si="228"/>
        <v>0</v>
      </c>
      <c r="CN83" s="271">
        <f t="shared" si="247"/>
        <v>0</v>
      </c>
      <c r="CO83" s="271">
        <f t="shared" si="248"/>
        <v>0</v>
      </c>
      <c r="CP83" s="271">
        <f t="shared" si="229"/>
        <v>0</v>
      </c>
      <c r="CQ83" s="271">
        <f t="shared" si="230"/>
        <v>0</v>
      </c>
      <c r="CR83" s="271">
        <f t="shared" si="231"/>
        <v>0</v>
      </c>
      <c r="CS83" s="271">
        <f t="shared" si="249"/>
        <v>0</v>
      </c>
      <c r="CT83" s="271">
        <f t="shared" si="250"/>
        <v>0</v>
      </c>
      <c r="CU83" s="272">
        <f t="shared" si="251"/>
        <v>2075</v>
      </c>
      <c r="CV83" s="273">
        <f t="shared" si="232"/>
        <v>0</v>
      </c>
      <c r="CW83" s="273">
        <f t="shared" si="233"/>
        <v>0</v>
      </c>
      <c r="CX83" s="273">
        <f t="shared" si="234"/>
        <v>0</v>
      </c>
      <c r="CY83" s="273">
        <f>IF(CT82=0,0,IF(CT83&gt;0,0,IF(AND(SUM(CT$7:CT82)&gt;0,SUM(CT83:CT$100)=0),CB$42,0)))</f>
        <v>0</v>
      </c>
      <c r="CZ83" s="273">
        <f>IF(CT82=0,0,IF(CT83&gt;0,0,IF(AND(SUM(CT$7:CT82)&gt;0,SUM(CT83:CT$100)=0),CB$41,0)))</f>
        <v>0</v>
      </c>
      <c r="DA83" s="273">
        <f>IF(SUM(CT$7:CT$100)=0,0,IF(SUM(CT83:CT$100)=0,CZ83-CY83,CM83-SUM(CN83:CR83)-CY83+CZ83))</f>
        <v>0</v>
      </c>
      <c r="DB83" s="274">
        <f t="shared" si="252"/>
        <v>2075</v>
      </c>
      <c r="DC83" s="275">
        <f t="shared" si="254"/>
        <v>0</v>
      </c>
      <c r="DD83" s="275">
        <f t="shared" si="255"/>
        <v>0</v>
      </c>
      <c r="DE83" s="275">
        <f t="shared" si="256"/>
        <v>0</v>
      </c>
      <c r="DF83" s="275">
        <f t="shared" si="257"/>
        <v>0</v>
      </c>
      <c r="DG83" s="360">
        <f t="shared" si="258"/>
        <v>0</v>
      </c>
      <c r="DH83" s="56"/>
      <c r="DI83" s="56"/>
      <c r="DJ83" s="233"/>
      <c r="DK83" s="233"/>
      <c r="DL83" s="37"/>
      <c r="DM83" s="37"/>
      <c r="DN83" s="37"/>
    </row>
    <row r="84" spans="1:118" ht="15">
      <c r="A84" s="206"/>
      <c r="B84" s="9"/>
      <c r="C84" s="9"/>
      <c r="D84" s="236"/>
      <c r="E84" s="236"/>
      <c r="F84" s="238">
        <f t="shared" si="203"/>
        <v>0</v>
      </c>
      <c r="G84" s="329"/>
      <c r="H84" s="239">
        <f t="shared" si="204"/>
        <v>0</v>
      </c>
      <c r="I84" s="351"/>
      <c r="J84" s="240">
        <f t="shared" si="205"/>
        <v>0</v>
      </c>
      <c r="K84" s="329"/>
      <c r="L84" s="241">
        <f t="shared" si="206"/>
        <v>0</v>
      </c>
      <c r="M84" s="326"/>
      <c r="N84" s="242">
        <f t="shared" si="207"/>
        <v>0</v>
      </c>
      <c r="O84" s="326"/>
      <c r="P84" s="243">
        <f t="shared" si="208"/>
        <v>0</v>
      </c>
      <c r="Q84" s="326"/>
      <c r="R84" s="244">
        <f t="shared" si="209"/>
        <v>0</v>
      </c>
      <c r="S84" s="325"/>
      <c r="T84" s="245">
        <f t="shared" si="210"/>
        <v>0</v>
      </c>
      <c r="U84" s="326"/>
      <c r="V84" s="246">
        <f t="shared" si="211"/>
        <v>0</v>
      </c>
      <c r="W84" s="326"/>
      <c r="X84" s="247">
        <f t="shared" si="212"/>
        <v>0</v>
      </c>
      <c r="Y84" s="248">
        <f t="shared" si="213"/>
        <v>0</v>
      </c>
      <c r="Z84" s="249">
        <f t="shared" si="214"/>
        <v>0</v>
      </c>
      <c r="AA84" s="249">
        <f t="shared" si="215"/>
        <v>0</v>
      </c>
      <c r="AB84" s="250">
        <f t="shared" si="216"/>
        <v>0</v>
      </c>
      <c r="AC84" s="250">
        <f t="shared" si="217"/>
        <v>0</v>
      </c>
      <c r="AD84" s="250">
        <f t="shared" si="253"/>
        <v>0</v>
      </c>
      <c r="AE84" s="239">
        <f t="shared" si="218"/>
        <v>0</v>
      </c>
      <c r="AF84" s="251">
        <f t="shared" si="219"/>
        <v>0</v>
      </c>
      <c r="AG84" s="251">
        <f t="shared" si="220"/>
        <v>0</v>
      </c>
      <c r="AH84" s="251">
        <f t="shared" si="235"/>
        <v>0</v>
      </c>
      <c r="AI84" s="251">
        <f t="shared" si="221"/>
        <v>0</v>
      </c>
      <c r="AJ84" s="251">
        <f t="shared" si="222"/>
        <v>0</v>
      </c>
      <c r="AK84" s="251">
        <f t="shared" si="236"/>
        <v>0</v>
      </c>
      <c r="AL84" s="245">
        <f t="shared" si="223"/>
        <v>0</v>
      </c>
      <c r="AM84" s="252">
        <f t="shared" si="237"/>
        <v>0</v>
      </c>
      <c r="AN84" s="252">
        <f t="shared" si="224"/>
        <v>0</v>
      </c>
      <c r="AO84" s="252">
        <f t="shared" si="225"/>
        <v>0</v>
      </c>
      <c r="AP84" s="252">
        <f t="shared" si="226"/>
        <v>0</v>
      </c>
      <c r="AQ84" s="252">
        <f t="shared" si="227"/>
        <v>0</v>
      </c>
      <c r="AR84" s="252">
        <f t="shared" si="238"/>
        <v>0</v>
      </c>
      <c r="AS84" s="131"/>
      <c r="AT84" s="131"/>
      <c r="AU84" s="132"/>
      <c r="AV84" s="37"/>
      <c r="AW84" s="37"/>
      <c r="AX84" s="37"/>
      <c r="AY84" s="347"/>
      <c r="AZ84" s="347"/>
      <c r="BA84" s="131"/>
      <c r="BB84" s="131"/>
      <c r="BC84" s="131"/>
      <c r="BD84" s="131"/>
      <c r="BE84" s="133"/>
      <c r="BF84" s="341"/>
      <c r="BG84" s="342"/>
      <c r="BH84" s="343"/>
      <c r="BI84" s="344"/>
      <c r="BJ84" s="345"/>
      <c r="BK84" s="346"/>
      <c r="BL84" s="135"/>
      <c r="BM84" s="341"/>
      <c r="BN84" s="342"/>
      <c r="BO84" s="343"/>
      <c r="BP84" s="344"/>
      <c r="BQ84" s="345"/>
      <c r="BR84" s="346"/>
      <c r="BS84" s="136"/>
      <c r="BT84" s="341"/>
      <c r="BU84" s="342"/>
      <c r="BV84" s="343"/>
      <c r="BW84" s="344"/>
      <c r="BX84" s="345"/>
      <c r="BY84" s="346"/>
      <c r="BZ84" s="156"/>
      <c r="CA84" s="156"/>
      <c r="CB84" s="156"/>
      <c r="CC84" s="266">
        <f t="shared" si="239"/>
        <v>2076</v>
      </c>
      <c r="CD84" s="267">
        <f t="shared" si="260"/>
        <v>0</v>
      </c>
      <c r="CE84" s="267">
        <f t="shared" si="240"/>
        <v>0</v>
      </c>
      <c r="CF84" s="267">
        <f t="shared" si="241"/>
        <v>0</v>
      </c>
      <c r="CG84" s="267">
        <f t="shared" si="259"/>
        <v>0</v>
      </c>
      <c r="CH84" s="267">
        <f t="shared" si="242"/>
        <v>0</v>
      </c>
      <c r="CI84" s="267">
        <f t="shared" si="243"/>
        <v>0</v>
      </c>
      <c r="CJ84" s="269">
        <f t="shared" si="244"/>
        <v>33.300216817023205</v>
      </c>
      <c r="CK84" s="269">
        <f t="shared" si="245"/>
        <v>4.094804778778482</v>
      </c>
      <c r="CL84" s="270">
        <f t="shared" si="246"/>
        <v>2076</v>
      </c>
      <c r="CM84" s="271">
        <f t="shared" si="228"/>
        <v>0</v>
      </c>
      <c r="CN84" s="271">
        <f t="shared" si="247"/>
        <v>0</v>
      </c>
      <c r="CO84" s="271">
        <f t="shared" si="248"/>
        <v>0</v>
      </c>
      <c r="CP84" s="271">
        <f t="shared" si="229"/>
        <v>0</v>
      </c>
      <c r="CQ84" s="271">
        <f t="shared" si="230"/>
        <v>0</v>
      </c>
      <c r="CR84" s="271">
        <f t="shared" si="231"/>
        <v>0</v>
      </c>
      <c r="CS84" s="271">
        <f t="shared" si="249"/>
        <v>0</v>
      </c>
      <c r="CT84" s="271">
        <f t="shared" si="250"/>
        <v>0</v>
      </c>
      <c r="CU84" s="272">
        <f t="shared" si="251"/>
        <v>2076</v>
      </c>
      <c r="CV84" s="273">
        <f t="shared" si="232"/>
        <v>0</v>
      </c>
      <c r="CW84" s="273">
        <f t="shared" si="233"/>
        <v>0</v>
      </c>
      <c r="CX84" s="273">
        <f t="shared" si="234"/>
        <v>0</v>
      </c>
      <c r="CY84" s="273">
        <f>IF(CT83=0,0,IF(CT84&gt;0,0,IF(AND(SUM(CT$7:CT83)&gt;0,SUM(CT84:CT$100)=0),CB$42,0)))</f>
        <v>0</v>
      </c>
      <c r="CZ84" s="273">
        <f>IF(CT83=0,0,IF(CT84&gt;0,0,IF(AND(SUM(CT$7:CT83)&gt;0,SUM(CT84:CT$100)=0),CB$41,0)))</f>
        <v>0</v>
      </c>
      <c r="DA84" s="273">
        <f>IF(SUM(CT$7:CT$100)=0,0,IF(SUM(CT84:CT$100)=0,CZ84-CY84,CM84-SUM(CN84:CR84)-CY84+CZ84))</f>
        <v>0</v>
      </c>
      <c r="DB84" s="274">
        <f t="shared" si="252"/>
        <v>2076</v>
      </c>
      <c r="DC84" s="275">
        <f t="shared" si="254"/>
        <v>0</v>
      </c>
      <c r="DD84" s="275">
        <f t="shared" si="255"/>
        <v>0</v>
      </c>
      <c r="DE84" s="275">
        <f t="shared" si="256"/>
        <v>0</v>
      </c>
      <c r="DF84" s="275">
        <f t="shared" si="257"/>
        <v>0</v>
      </c>
      <c r="DG84" s="360">
        <f t="shared" si="258"/>
        <v>0</v>
      </c>
      <c r="DH84" s="56"/>
      <c r="DI84" s="56"/>
      <c r="DJ84" s="233"/>
      <c r="DK84" s="233"/>
      <c r="DL84" s="37"/>
      <c r="DM84" s="37"/>
      <c r="DN84" s="37"/>
    </row>
    <row r="85" spans="1:118" ht="15">
      <c r="A85" s="206"/>
      <c r="B85" s="9"/>
      <c r="C85" s="354"/>
      <c r="D85" s="236"/>
      <c r="E85" s="236"/>
      <c r="F85" s="238">
        <f t="shared" si="203"/>
        <v>0</v>
      </c>
      <c r="G85" s="329"/>
      <c r="H85" s="239">
        <f t="shared" si="204"/>
        <v>0</v>
      </c>
      <c r="I85" s="351"/>
      <c r="J85" s="240">
        <f t="shared" si="205"/>
        <v>0</v>
      </c>
      <c r="K85" s="329"/>
      <c r="L85" s="241">
        <f t="shared" si="206"/>
        <v>0</v>
      </c>
      <c r="M85" s="326"/>
      <c r="N85" s="242">
        <f t="shared" si="207"/>
        <v>0</v>
      </c>
      <c r="O85" s="326"/>
      <c r="P85" s="243">
        <f t="shared" si="208"/>
        <v>0</v>
      </c>
      <c r="Q85" s="326"/>
      <c r="R85" s="244">
        <f t="shared" si="209"/>
        <v>0</v>
      </c>
      <c r="S85" s="325"/>
      <c r="T85" s="245">
        <f t="shared" si="210"/>
        <v>0</v>
      </c>
      <c r="U85" s="326"/>
      <c r="V85" s="246">
        <f t="shared" si="211"/>
        <v>0</v>
      </c>
      <c r="W85" s="326"/>
      <c r="X85" s="247">
        <f t="shared" si="212"/>
        <v>0</v>
      </c>
      <c r="Y85" s="248">
        <f t="shared" si="213"/>
        <v>0</v>
      </c>
      <c r="Z85" s="249">
        <f t="shared" si="214"/>
        <v>0</v>
      </c>
      <c r="AA85" s="249">
        <f t="shared" si="215"/>
        <v>0</v>
      </c>
      <c r="AB85" s="250">
        <f t="shared" si="216"/>
        <v>0</v>
      </c>
      <c r="AC85" s="250">
        <f t="shared" si="217"/>
        <v>0</v>
      </c>
      <c r="AD85" s="250">
        <f t="shared" si="253"/>
        <v>0</v>
      </c>
      <c r="AE85" s="239">
        <f t="shared" si="218"/>
        <v>0</v>
      </c>
      <c r="AF85" s="251">
        <f t="shared" si="219"/>
        <v>0</v>
      </c>
      <c r="AG85" s="251">
        <f t="shared" si="220"/>
        <v>0</v>
      </c>
      <c r="AH85" s="251">
        <f t="shared" si="235"/>
        <v>0</v>
      </c>
      <c r="AI85" s="251">
        <f t="shared" si="221"/>
        <v>0</v>
      </c>
      <c r="AJ85" s="251">
        <f t="shared" si="222"/>
        <v>0</v>
      </c>
      <c r="AK85" s="251">
        <f t="shared" si="236"/>
        <v>0</v>
      </c>
      <c r="AL85" s="245">
        <f t="shared" si="223"/>
        <v>0</v>
      </c>
      <c r="AM85" s="252">
        <f t="shared" si="237"/>
        <v>0</v>
      </c>
      <c r="AN85" s="252">
        <f t="shared" si="224"/>
        <v>0</v>
      </c>
      <c r="AO85" s="252">
        <f t="shared" si="225"/>
        <v>0</v>
      </c>
      <c r="AP85" s="252">
        <f t="shared" si="226"/>
        <v>0</v>
      </c>
      <c r="AQ85" s="252">
        <f t="shared" si="227"/>
        <v>0</v>
      </c>
      <c r="AR85" s="252">
        <f t="shared" si="238"/>
        <v>0</v>
      </c>
      <c r="AS85" s="131"/>
      <c r="AT85" s="131"/>
      <c r="AU85" s="132"/>
      <c r="AV85" s="37"/>
      <c r="AW85" s="37"/>
      <c r="AX85" s="37"/>
      <c r="AY85" s="347"/>
      <c r="AZ85" s="347"/>
      <c r="BA85" s="131"/>
      <c r="BB85" s="131"/>
      <c r="BC85" s="131"/>
      <c r="BD85" s="131"/>
      <c r="BE85" s="133"/>
      <c r="BF85" s="341"/>
      <c r="BG85" s="342"/>
      <c r="BH85" s="343"/>
      <c r="BI85" s="344"/>
      <c r="BJ85" s="345"/>
      <c r="BK85" s="346"/>
      <c r="BL85" s="135"/>
      <c r="BM85" s="341"/>
      <c r="BN85" s="342"/>
      <c r="BO85" s="343"/>
      <c r="BP85" s="344"/>
      <c r="BQ85" s="345"/>
      <c r="BR85" s="346"/>
      <c r="BS85" s="136"/>
      <c r="BT85" s="341"/>
      <c r="BU85" s="342"/>
      <c r="BV85" s="343"/>
      <c r="BW85" s="344"/>
      <c r="BX85" s="345"/>
      <c r="BY85" s="346"/>
      <c r="BZ85" s="156"/>
      <c r="CA85" s="156"/>
      <c r="CB85" s="156"/>
      <c r="CC85" s="266">
        <f t="shared" si="239"/>
        <v>2077</v>
      </c>
      <c r="CD85" s="267">
        <f t="shared" si="260"/>
        <v>0</v>
      </c>
      <c r="CE85" s="267">
        <f t="shared" si="240"/>
        <v>0</v>
      </c>
      <c r="CF85" s="267">
        <f t="shared" si="241"/>
        <v>0</v>
      </c>
      <c r="CG85" s="267">
        <f t="shared" si="259"/>
        <v>0</v>
      </c>
      <c r="CH85" s="267">
        <f t="shared" si="242"/>
        <v>0</v>
      </c>
      <c r="CI85" s="267">
        <f t="shared" si="243"/>
        <v>0</v>
      </c>
      <c r="CJ85" s="269">
        <f t="shared" si="244"/>
        <v>33.53331833474237</v>
      </c>
      <c r="CK85" s="269">
        <f t="shared" si="245"/>
        <v>4.119373607451153</v>
      </c>
      <c r="CL85" s="270">
        <f t="shared" si="246"/>
        <v>2077</v>
      </c>
      <c r="CM85" s="271">
        <f t="shared" si="228"/>
        <v>0</v>
      </c>
      <c r="CN85" s="271">
        <f t="shared" si="247"/>
        <v>0</v>
      </c>
      <c r="CO85" s="271">
        <f t="shared" si="248"/>
        <v>0</v>
      </c>
      <c r="CP85" s="271">
        <f t="shared" si="229"/>
        <v>0</v>
      </c>
      <c r="CQ85" s="271">
        <f t="shared" si="230"/>
        <v>0</v>
      </c>
      <c r="CR85" s="271">
        <f t="shared" si="231"/>
        <v>0</v>
      </c>
      <c r="CS85" s="271">
        <f t="shared" si="249"/>
        <v>0</v>
      </c>
      <c r="CT85" s="271">
        <f t="shared" si="250"/>
        <v>0</v>
      </c>
      <c r="CU85" s="272">
        <f t="shared" si="251"/>
        <v>2077</v>
      </c>
      <c r="CV85" s="273">
        <f t="shared" si="232"/>
        <v>0</v>
      </c>
      <c r="CW85" s="273">
        <f t="shared" si="233"/>
        <v>0</v>
      </c>
      <c r="CX85" s="273">
        <f t="shared" si="234"/>
        <v>0</v>
      </c>
      <c r="CY85" s="273">
        <f>IF(CT84=0,0,IF(CT85&gt;0,0,IF(AND(SUM(CT$7:CT84)&gt;0,SUM(CT85:CT$100)=0),CB$42,0)))</f>
        <v>0</v>
      </c>
      <c r="CZ85" s="273">
        <f>IF(CT84=0,0,IF(CT85&gt;0,0,IF(AND(SUM(CT$7:CT84)&gt;0,SUM(CT85:CT$100)=0),CB$41,0)))</f>
        <v>0</v>
      </c>
      <c r="DA85" s="273">
        <f>IF(SUM(CT$7:CT$100)=0,0,IF(SUM(CT85:CT$100)=0,CZ85-CY85,CM85-SUM(CN85:CR85)-CY85+CZ85))</f>
        <v>0</v>
      </c>
      <c r="DB85" s="274">
        <f t="shared" si="252"/>
        <v>2077</v>
      </c>
      <c r="DC85" s="275">
        <f t="shared" si="254"/>
        <v>0</v>
      </c>
      <c r="DD85" s="275">
        <f t="shared" si="255"/>
        <v>0</v>
      </c>
      <c r="DE85" s="275">
        <f t="shared" si="256"/>
        <v>0</v>
      </c>
      <c r="DF85" s="275">
        <f t="shared" si="257"/>
        <v>0</v>
      </c>
      <c r="DG85" s="360">
        <f t="shared" si="258"/>
        <v>0</v>
      </c>
      <c r="DH85" s="56"/>
      <c r="DI85" s="56"/>
      <c r="DJ85" s="233"/>
      <c r="DK85" s="233"/>
      <c r="DL85" s="37"/>
      <c r="DM85" s="37"/>
      <c r="DN85" s="37"/>
    </row>
    <row r="86" spans="1:118" ht="15">
      <c r="A86" s="206"/>
      <c r="B86" s="9"/>
      <c r="C86" s="9"/>
      <c r="D86" s="236"/>
      <c r="E86" s="236"/>
      <c r="F86" s="238">
        <f t="shared" si="203"/>
        <v>0</v>
      </c>
      <c r="G86" s="329"/>
      <c r="H86" s="239">
        <f t="shared" si="204"/>
        <v>0</v>
      </c>
      <c r="I86" s="351"/>
      <c r="J86" s="240">
        <f t="shared" si="205"/>
        <v>0</v>
      </c>
      <c r="K86" s="329"/>
      <c r="L86" s="241">
        <f t="shared" si="206"/>
        <v>0</v>
      </c>
      <c r="M86" s="326"/>
      <c r="N86" s="242">
        <f t="shared" si="207"/>
        <v>0</v>
      </c>
      <c r="O86" s="326"/>
      <c r="P86" s="243">
        <f t="shared" si="208"/>
        <v>0</v>
      </c>
      <c r="Q86" s="326"/>
      <c r="R86" s="244">
        <f t="shared" si="209"/>
        <v>0</v>
      </c>
      <c r="S86" s="325"/>
      <c r="T86" s="245">
        <f t="shared" si="210"/>
        <v>0</v>
      </c>
      <c r="U86" s="326"/>
      <c r="V86" s="246">
        <f t="shared" si="211"/>
        <v>0</v>
      </c>
      <c r="W86" s="326"/>
      <c r="X86" s="247">
        <f t="shared" si="212"/>
        <v>0</v>
      </c>
      <c r="Y86" s="248">
        <f t="shared" si="213"/>
        <v>0</v>
      </c>
      <c r="Z86" s="249">
        <f t="shared" si="214"/>
        <v>0</v>
      </c>
      <c r="AA86" s="249">
        <f t="shared" si="215"/>
        <v>0</v>
      </c>
      <c r="AB86" s="250">
        <f t="shared" si="216"/>
        <v>0</v>
      </c>
      <c r="AC86" s="250">
        <f t="shared" si="217"/>
        <v>0</v>
      </c>
      <c r="AD86" s="250">
        <f t="shared" si="253"/>
        <v>0</v>
      </c>
      <c r="AE86" s="239">
        <f t="shared" si="218"/>
        <v>0</v>
      </c>
      <c r="AF86" s="251">
        <f t="shared" si="219"/>
        <v>0</v>
      </c>
      <c r="AG86" s="251">
        <f t="shared" si="220"/>
        <v>0</v>
      </c>
      <c r="AH86" s="251">
        <f t="shared" si="235"/>
        <v>0</v>
      </c>
      <c r="AI86" s="251">
        <f t="shared" si="221"/>
        <v>0</v>
      </c>
      <c r="AJ86" s="251">
        <f t="shared" si="222"/>
        <v>0</v>
      </c>
      <c r="AK86" s="251">
        <f t="shared" si="236"/>
        <v>0</v>
      </c>
      <c r="AL86" s="245">
        <f t="shared" si="223"/>
        <v>0</v>
      </c>
      <c r="AM86" s="252">
        <f t="shared" si="237"/>
        <v>0</v>
      </c>
      <c r="AN86" s="252">
        <f t="shared" si="224"/>
        <v>0</v>
      </c>
      <c r="AO86" s="252">
        <f t="shared" si="225"/>
        <v>0</v>
      </c>
      <c r="AP86" s="252">
        <f t="shared" si="226"/>
        <v>0</v>
      </c>
      <c r="AQ86" s="252">
        <f t="shared" si="227"/>
        <v>0</v>
      </c>
      <c r="AR86" s="252">
        <f t="shared" si="238"/>
        <v>0</v>
      </c>
      <c r="AS86" s="131"/>
      <c r="AT86" s="131"/>
      <c r="AU86" s="132"/>
      <c r="AV86" s="37"/>
      <c r="AW86" s="37"/>
      <c r="AX86" s="37"/>
      <c r="AY86" s="347"/>
      <c r="AZ86" s="347"/>
      <c r="BA86" s="130"/>
      <c r="BB86" s="130"/>
      <c r="BC86" s="130"/>
      <c r="BD86" s="130"/>
      <c r="BE86" s="133"/>
      <c r="BF86" s="341"/>
      <c r="BG86" s="342"/>
      <c r="BH86" s="343"/>
      <c r="BI86" s="344"/>
      <c r="BJ86" s="345"/>
      <c r="BK86" s="346"/>
      <c r="BL86" s="135"/>
      <c r="BM86" s="341"/>
      <c r="BN86" s="342"/>
      <c r="BO86" s="343"/>
      <c r="BP86" s="344"/>
      <c r="BQ86" s="345"/>
      <c r="BR86" s="346"/>
      <c r="BS86" s="136"/>
      <c r="BT86" s="341"/>
      <c r="BU86" s="342"/>
      <c r="BV86" s="343"/>
      <c r="BW86" s="344"/>
      <c r="BX86" s="345"/>
      <c r="BY86" s="346"/>
      <c r="BZ86" s="156"/>
      <c r="CA86" s="156"/>
      <c r="CB86" s="156"/>
      <c r="CC86" s="266">
        <f t="shared" si="239"/>
        <v>2078</v>
      </c>
      <c r="CD86" s="267">
        <f t="shared" si="260"/>
        <v>0</v>
      </c>
      <c r="CE86" s="267">
        <f t="shared" si="240"/>
        <v>0</v>
      </c>
      <c r="CF86" s="267">
        <f t="shared" si="241"/>
        <v>0</v>
      </c>
      <c r="CG86" s="267">
        <f t="shared" si="259"/>
        <v>0</v>
      </c>
      <c r="CH86" s="267">
        <f t="shared" si="242"/>
        <v>0</v>
      </c>
      <c r="CI86" s="267">
        <f t="shared" si="243"/>
        <v>0</v>
      </c>
      <c r="CJ86" s="269">
        <f t="shared" si="244"/>
        <v>33.76805156308556</v>
      </c>
      <c r="CK86" s="269">
        <f t="shared" si="245"/>
        <v>4.1440898490958595</v>
      </c>
      <c r="CL86" s="270">
        <f t="shared" si="246"/>
        <v>2078</v>
      </c>
      <c r="CM86" s="271">
        <f t="shared" si="228"/>
        <v>0</v>
      </c>
      <c r="CN86" s="271">
        <f t="shared" si="247"/>
        <v>0</v>
      </c>
      <c r="CO86" s="271">
        <f t="shared" si="248"/>
        <v>0</v>
      </c>
      <c r="CP86" s="271">
        <f t="shared" si="229"/>
        <v>0</v>
      </c>
      <c r="CQ86" s="271">
        <f t="shared" si="230"/>
        <v>0</v>
      </c>
      <c r="CR86" s="271">
        <f t="shared" si="231"/>
        <v>0</v>
      </c>
      <c r="CS86" s="271">
        <f t="shared" si="249"/>
        <v>0</v>
      </c>
      <c r="CT86" s="271">
        <f t="shared" si="250"/>
        <v>0</v>
      </c>
      <c r="CU86" s="272">
        <f t="shared" si="251"/>
        <v>2078</v>
      </c>
      <c r="CV86" s="273">
        <f t="shared" si="232"/>
        <v>0</v>
      </c>
      <c r="CW86" s="273">
        <f t="shared" si="233"/>
        <v>0</v>
      </c>
      <c r="CX86" s="273">
        <f t="shared" si="234"/>
        <v>0</v>
      </c>
      <c r="CY86" s="273">
        <f>IF(CT85=0,0,IF(CT86&gt;0,0,IF(AND(SUM(CT$7:CT85)&gt;0,SUM(CT86:CT$100)=0),CB$42,0)))</f>
        <v>0</v>
      </c>
      <c r="CZ86" s="273">
        <f>IF(CT85=0,0,IF(CT86&gt;0,0,IF(AND(SUM(CT$7:CT85)&gt;0,SUM(CT86:CT$100)=0),CB$41,0)))</f>
        <v>0</v>
      </c>
      <c r="DA86" s="273">
        <f>IF(SUM(CT$7:CT$100)=0,0,IF(SUM(CT86:CT$100)=0,CZ86-CY86,CM86-SUM(CN86:CR86)-CY86+CZ86))</f>
        <v>0</v>
      </c>
      <c r="DB86" s="274">
        <f t="shared" si="252"/>
        <v>2078</v>
      </c>
      <c r="DC86" s="275">
        <f t="shared" si="254"/>
        <v>0</v>
      </c>
      <c r="DD86" s="275">
        <f t="shared" si="255"/>
        <v>0</v>
      </c>
      <c r="DE86" s="275">
        <f t="shared" si="256"/>
        <v>0</v>
      </c>
      <c r="DF86" s="275">
        <f t="shared" si="257"/>
        <v>0</v>
      </c>
      <c r="DG86" s="360">
        <f t="shared" si="258"/>
        <v>0</v>
      </c>
      <c r="DH86" s="56"/>
      <c r="DI86" s="56"/>
      <c r="DJ86" s="233"/>
      <c r="DK86" s="233"/>
      <c r="DL86" s="37"/>
      <c r="DM86" s="37"/>
      <c r="DN86" s="37"/>
    </row>
    <row r="87" spans="1:118" ht="15">
      <c r="A87" s="206"/>
      <c r="B87" s="9"/>
      <c r="C87" s="9"/>
      <c r="D87" s="236"/>
      <c r="E87" s="236"/>
      <c r="F87" s="238">
        <f t="shared" si="203"/>
        <v>0</v>
      </c>
      <c r="G87" s="329"/>
      <c r="H87" s="239">
        <f t="shared" si="204"/>
        <v>0</v>
      </c>
      <c r="I87" s="351"/>
      <c r="J87" s="240">
        <f t="shared" si="205"/>
        <v>0</v>
      </c>
      <c r="K87" s="329"/>
      <c r="L87" s="241">
        <f t="shared" si="206"/>
        <v>0</v>
      </c>
      <c r="M87" s="326"/>
      <c r="N87" s="242">
        <f t="shared" si="207"/>
        <v>0</v>
      </c>
      <c r="O87" s="326"/>
      <c r="P87" s="243">
        <f t="shared" si="208"/>
        <v>0</v>
      </c>
      <c r="Q87" s="326"/>
      <c r="R87" s="244">
        <f t="shared" si="209"/>
        <v>0</v>
      </c>
      <c r="S87" s="325"/>
      <c r="T87" s="245">
        <f t="shared" si="210"/>
        <v>0</v>
      </c>
      <c r="U87" s="326"/>
      <c r="V87" s="246">
        <f t="shared" si="211"/>
        <v>0</v>
      </c>
      <c r="W87" s="326"/>
      <c r="X87" s="247">
        <f t="shared" si="212"/>
        <v>0</v>
      </c>
      <c r="Y87" s="248">
        <f aca="true" t="shared" si="261" ref="Y87:Y100">IF(I87=1,Q87*S87,0)*G87</f>
        <v>0</v>
      </c>
      <c r="Z87" s="249">
        <f aca="true" t="shared" si="262" ref="Z87:Z100">IF(I87=1,Q87*S87*(U87/1000),0)*G87</f>
        <v>0</v>
      </c>
      <c r="AA87" s="249">
        <f aca="true" t="shared" si="263" ref="AA87:AA100">Z87*($M87/1000)</f>
        <v>0</v>
      </c>
      <c r="AB87" s="250">
        <f aca="true" t="shared" si="264" ref="AB87:AB100">IF(I87=2,Q87*S87,0)*G87</f>
        <v>0</v>
      </c>
      <c r="AC87" s="250">
        <f aca="true" t="shared" si="265" ref="AC87:AC100">IF(I87=2,Q87*S87*(W87/1000),0)*G87</f>
        <v>0</v>
      </c>
      <c r="AD87" s="250">
        <f t="shared" si="253"/>
        <v>0</v>
      </c>
      <c r="AE87" s="239">
        <f t="shared" si="218"/>
        <v>0</v>
      </c>
      <c r="AF87" s="251">
        <f aca="true" t="shared" si="266" ref="AF87:AF100">IF(I87=3,Q87*S87*K87,0)*G87</f>
        <v>0</v>
      </c>
      <c r="AG87" s="251">
        <f aca="true" t="shared" si="267" ref="AG87:AG100">IF(I87=3,Q87*S87*(U87/1000)*K87,0)*G87</f>
        <v>0</v>
      </c>
      <c r="AH87" s="251">
        <f t="shared" si="235"/>
        <v>0</v>
      </c>
      <c r="AI87" s="251">
        <f aca="true" t="shared" si="268" ref="AI87:AI100">IF(I87=3,Q87*S87*(1-K87),0)*G87</f>
        <v>0</v>
      </c>
      <c r="AJ87" s="251">
        <f aca="true" t="shared" si="269" ref="AJ87:AJ100">IF(I87=3,Q87*S87*(W87/1000)*(1-K87),0)*G87</f>
        <v>0</v>
      </c>
      <c r="AK87" s="251">
        <f t="shared" si="236"/>
        <v>0</v>
      </c>
      <c r="AL87" s="245">
        <f t="shared" si="223"/>
        <v>0</v>
      </c>
      <c r="AM87" s="252">
        <f t="shared" si="237"/>
        <v>0</v>
      </c>
      <c r="AN87" s="252">
        <f aca="true" t="shared" si="270" ref="AN87:AN100">Z87+AD87+AG87+AK87</f>
        <v>0</v>
      </c>
      <c r="AO87" s="252">
        <f aca="true" t="shared" si="271" ref="AO87:AO100">AA87+AC87+AH87+AJ87</f>
        <v>0</v>
      </c>
      <c r="AP87" s="252">
        <f aca="true" t="shared" si="272" ref="AP87:AP100">AN87+(AO87/A$36)</f>
        <v>0</v>
      </c>
      <c r="AQ87" s="252">
        <f aca="true" t="shared" si="273" ref="AQ87:AQ100">IF(I87=1,(Q87*S87*(U87/1000))+((Q87*S87*(U87/1000))*(M87/5620)),IF(I87=2,(Q87*S87*(W87/5620))+((Q87*S87*(W87/1000))*(O87/1000)),(Q87*S87*(U87/1000)*K87)+((Q87*S87*(U87/1000)*K87)*(M87/5620))+(Q87*S87*(W87/5620)*(1-K87))+((Q87*S87*(W87/1000)*(1-K87))*(O87/1000))))</f>
        <v>0</v>
      </c>
      <c r="AR87" s="252">
        <f t="shared" si="238"/>
        <v>0</v>
      </c>
      <c r="AS87" s="131"/>
      <c r="AT87" s="131"/>
      <c r="AU87" s="132"/>
      <c r="AV87" s="37"/>
      <c r="AW87" s="37"/>
      <c r="AX87" s="37"/>
      <c r="AY87" s="347"/>
      <c r="AZ87" s="347"/>
      <c r="BA87" s="131"/>
      <c r="BB87" s="131"/>
      <c r="BC87" s="131"/>
      <c r="BD87" s="131"/>
      <c r="BE87" s="133"/>
      <c r="BF87" s="341"/>
      <c r="BG87" s="342"/>
      <c r="BH87" s="343"/>
      <c r="BI87" s="344"/>
      <c r="BJ87" s="345"/>
      <c r="BK87" s="346"/>
      <c r="BL87" s="135"/>
      <c r="BM87" s="341"/>
      <c r="BN87" s="342"/>
      <c r="BO87" s="343"/>
      <c r="BP87" s="344"/>
      <c r="BQ87" s="345"/>
      <c r="BR87" s="346"/>
      <c r="BS87" s="136"/>
      <c r="BT87" s="341"/>
      <c r="BU87" s="342"/>
      <c r="BV87" s="343"/>
      <c r="BW87" s="344"/>
      <c r="BX87" s="345"/>
      <c r="BY87" s="346"/>
      <c r="BZ87" s="156"/>
      <c r="CA87" s="156"/>
      <c r="CB87" s="156"/>
      <c r="CC87" s="266">
        <f t="shared" si="239"/>
        <v>2079</v>
      </c>
      <c r="CD87" s="267">
        <f t="shared" si="260"/>
        <v>0</v>
      </c>
      <c r="CE87" s="267">
        <f t="shared" si="240"/>
        <v>0</v>
      </c>
      <c r="CF87" s="267">
        <f t="shared" si="241"/>
        <v>0</v>
      </c>
      <c r="CG87" s="267">
        <f t="shared" si="259"/>
        <v>0</v>
      </c>
      <c r="CH87" s="267">
        <f t="shared" si="242"/>
        <v>0</v>
      </c>
      <c r="CI87" s="267">
        <f t="shared" si="243"/>
        <v>0</v>
      </c>
      <c r="CJ87" s="269">
        <f t="shared" si="244"/>
        <v>34.004427924027155</v>
      </c>
      <c r="CK87" s="269">
        <f t="shared" si="245"/>
        <v>4.168954388190435</v>
      </c>
      <c r="CL87" s="270">
        <f t="shared" si="246"/>
        <v>2079</v>
      </c>
      <c r="CM87" s="271">
        <f aca="true" t="shared" si="274" ref="CM87:CM100">(CH87*CJ87)+(CI87*CK87)</f>
        <v>0</v>
      </c>
      <c r="CN87" s="271">
        <f t="shared" si="247"/>
        <v>0</v>
      </c>
      <c r="CO87" s="271">
        <f t="shared" si="248"/>
        <v>0</v>
      </c>
      <c r="CP87" s="271">
        <f aca="true" t="shared" si="275" ref="CP87:CP100">IF(CG87&gt;0,CB$24,0)</f>
        <v>0</v>
      </c>
      <c r="CQ87" s="271">
        <f aca="true" t="shared" si="276" ref="CQ87:CQ100">CG87*CB$25</f>
        <v>0</v>
      </c>
      <c r="CR87" s="271">
        <f aca="true" t="shared" si="277" ref="CR87:CR100">(CH87*CB$26)+(CI87*CB$37)</f>
        <v>0</v>
      </c>
      <c r="CS87" s="271">
        <f t="shared" si="249"/>
        <v>0</v>
      </c>
      <c r="CT87" s="271">
        <f t="shared" si="250"/>
        <v>0</v>
      </c>
      <c r="CU87" s="272">
        <f t="shared" si="251"/>
        <v>2079</v>
      </c>
      <c r="CV87" s="273">
        <f aca="true" t="shared" si="278" ref="CV87:CV100">IF(SUM(CT$7:CT$100)=0,0,CG87)</f>
        <v>0</v>
      </c>
      <c r="CW87" s="273">
        <f aca="true" t="shared" si="279" ref="CW87:CW100">IF(SUM(CT$7:CT$100)=0,0,CN87+CO87)</f>
        <v>0</v>
      </c>
      <c r="CX87" s="273">
        <f aca="true" t="shared" si="280" ref="CX87:CX100">IF(SUM(CT$7:CT$100)=0,0,CP87+CQ87+CR87)</f>
        <v>0</v>
      </c>
      <c r="CY87" s="273">
        <f>IF(CT86=0,0,IF(CT87&gt;0,0,IF(AND(SUM(CT$7:CT86)&gt;0,SUM(CT87:CT$100)=0),CB$42,0)))</f>
        <v>0</v>
      </c>
      <c r="CZ87" s="273">
        <f>IF(CT86=0,0,IF(CT87&gt;0,0,IF(AND(SUM(CT$7:CT86)&gt;0,SUM(CT87:CT$100)=0),CB$41,0)))</f>
        <v>0</v>
      </c>
      <c r="DA87" s="273">
        <f>IF(SUM(CT$7:CT$100)=0,0,IF(SUM(CT87:CT$100)=0,CZ87-CY87,CM87-SUM(CN87:CR87)-CY87+CZ87))</f>
        <v>0</v>
      </c>
      <c r="DB87" s="274">
        <f t="shared" si="252"/>
        <v>2079</v>
      </c>
      <c r="DC87" s="275">
        <f t="shared" si="254"/>
        <v>0</v>
      </c>
      <c r="DD87" s="275">
        <f t="shared" si="255"/>
        <v>0</v>
      </c>
      <c r="DE87" s="275">
        <f t="shared" si="256"/>
        <v>0</v>
      </c>
      <c r="DF87" s="275">
        <f t="shared" si="257"/>
        <v>0</v>
      </c>
      <c r="DG87" s="360">
        <f t="shared" si="258"/>
        <v>0</v>
      </c>
      <c r="DH87" s="56"/>
      <c r="DI87" s="56"/>
      <c r="DJ87" s="233"/>
      <c r="DK87" s="233"/>
      <c r="DL87" s="37"/>
      <c r="DM87" s="37"/>
      <c r="DN87" s="37"/>
    </row>
    <row r="88" spans="1:118" ht="15">
      <c r="A88" s="206"/>
      <c r="B88" s="9"/>
      <c r="C88" s="9"/>
      <c r="D88" s="236"/>
      <c r="E88" s="236"/>
      <c r="F88" s="238">
        <f t="shared" si="203"/>
        <v>0</v>
      </c>
      <c r="G88" s="329"/>
      <c r="H88" s="239">
        <f t="shared" si="204"/>
        <v>0</v>
      </c>
      <c r="I88" s="351"/>
      <c r="J88" s="240">
        <f t="shared" si="205"/>
        <v>0</v>
      </c>
      <c r="K88" s="329"/>
      <c r="L88" s="241">
        <f t="shared" si="206"/>
        <v>0</v>
      </c>
      <c r="M88" s="326"/>
      <c r="N88" s="242">
        <f t="shared" si="207"/>
        <v>0</v>
      </c>
      <c r="O88" s="326"/>
      <c r="P88" s="243">
        <f t="shared" si="208"/>
        <v>0</v>
      </c>
      <c r="Q88" s="326"/>
      <c r="R88" s="244">
        <f t="shared" si="209"/>
        <v>0</v>
      </c>
      <c r="S88" s="325"/>
      <c r="T88" s="245">
        <f t="shared" si="210"/>
        <v>0</v>
      </c>
      <c r="U88" s="326"/>
      <c r="V88" s="246">
        <f t="shared" si="211"/>
        <v>0</v>
      </c>
      <c r="W88" s="326"/>
      <c r="X88" s="247">
        <f t="shared" si="212"/>
        <v>0</v>
      </c>
      <c r="Y88" s="248">
        <f t="shared" si="261"/>
        <v>0</v>
      </c>
      <c r="Z88" s="249">
        <f t="shared" si="262"/>
        <v>0</v>
      </c>
      <c r="AA88" s="249">
        <f t="shared" si="263"/>
        <v>0</v>
      </c>
      <c r="AB88" s="250">
        <f t="shared" si="264"/>
        <v>0</v>
      </c>
      <c r="AC88" s="250">
        <f t="shared" si="265"/>
        <v>0</v>
      </c>
      <c r="AD88" s="250">
        <f t="shared" si="253"/>
        <v>0</v>
      </c>
      <c r="AE88" s="239">
        <f t="shared" si="218"/>
        <v>0</v>
      </c>
      <c r="AF88" s="251">
        <f t="shared" si="266"/>
        <v>0</v>
      </c>
      <c r="AG88" s="251">
        <f t="shared" si="267"/>
        <v>0</v>
      </c>
      <c r="AH88" s="251">
        <f aca="true" t="shared" si="281" ref="AH88:AH100">AG88*($M88/1000)</f>
        <v>0</v>
      </c>
      <c r="AI88" s="251">
        <f t="shared" si="268"/>
        <v>0</v>
      </c>
      <c r="AJ88" s="251">
        <f t="shared" si="269"/>
        <v>0</v>
      </c>
      <c r="AK88" s="251">
        <f aca="true" t="shared" si="282" ref="AK88:AK100">AJ88*($O88/1000)</f>
        <v>0</v>
      </c>
      <c r="AL88" s="245">
        <f t="shared" si="223"/>
        <v>0</v>
      </c>
      <c r="AM88" s="252">
        <f aca="true" t="shared" si="283" ref="AM88:AM100">Y88+AB88+AF88+AI88</f>
        <v>0</v>
      </c>
      <c r="AN88" s="252">
        <f t="shared" si="270"/>
        <v>0</v>
      </c>
      <c r="AO88" s="252">
        <f t="shared" si="271"/>
        <v>0</v>
      </c>
      <c r="AP88" s="252">
        <f t="shared" si="272"/>
        <v>0</v>
      </c>
      <c r="AQ88" s="252">
        <f t="shared" si="273"/>
        <v>0</v>
      </c>
      <c r="AR88" s="252">
        <f aca="true" t="shared" si="284" ref="AR88:AR100">IF(G88=0,0,AQ88)</f>
        <v>0</v>
      </c>
      <c r="AS88" s="131"/>
      <c r="AT88" s="131"/>
      <c r="AU88" s="132"/>
      <c r="AV88" s="37"/>
      <c r="AW88" s="37"/>
      <c r="AX88" s="37"/>
      <c r="AY88" s="347"/>
      <c r="AZ88" s="347"/>
      <c r="BA88" s="131"/>
      <c r="BB88" s="131"/>
      <c r="BC88" s="131"/>
      <c r="BD88" s="131"/>
      <c r="BE88" s="133"/>
      <c r="BF88" s="341"/>
      <c r="BG88" s="342"/>
      <c r="BH88" s="343"/>
      <c r="BI88" s="344"/>
      <c r="BJ88" s="345"/>
      <c r="BK88" s="346"/>
      <c r="BL88" s="135"/>
      <c r="BM88" s="341"/>
      <c r="BN88" s="342"/>
      <c r="BO88" s="343"/>
      <c r="BP88" s="344"/>
      <c r="BQ88" s="345"/>
      <c r="BR88" s="346"/>
      <c r="BS88" s="136"/>
      <c r="BT88" s="341"/>
      <c r="BU88" s="342"/>
      <c r="BV88" s="343"/>
      <c r="BW88" s="344"/>
      <c r="BX88" s="345"/>
      <c r="BY88" s="346"/>
      <c r="BZ88" s="156"/>
      <c r="CA88" s="156"/>
      <c r="CB88" s="156"/>
      <c r="CC88" s="266">
        <f aca="true" t="shared" si="285" ref="CC88:CC100">CC87+1</f>
        <v>2080</v>
      </c>
      <c r="CD88" s="267">
        <f t="shared" si="260"/>
        <v>0</v>
      </c>
      <c r="CE88" s="267">
        <f aca="true" t="shared" si="286" ref="CE88:CE100">(CD88/SUM(CD$7:CD$100))*CB$12</f>
        <v>0</v>
      </c>
      <c r="CF88" s="267">
        <f aca="true" t="shared" si="287" ref="CF88:CF100">IF(CB$5&gt;=CB$6,IF(CE88+CF87-CB$8&lt;=0,0,CE88+CF87-CB$8),IF(CE88+CF87-CB$9&lt;=0,0,CE88+CF87-CB$9))</f>
        <v>0</v>
      </c>
      <c r="CG88" s="267">
        <f t="shared" si="259"/>
        <v>0</v>
      </c>
      <c r="CH88" s="267">
        <f aca="true" t="shared" si="288" ref="CH88:CH100">CG88*CB$16</f>
        <v>0</v>
      </c>
      <c r="CI88" s="267">
        <f aca="true" t="shared" si="289" ref="CI88:CI100">(CG88-CH88)*CB$7</f>
        <v>0</v>
      </c>
      <c r="CJ88" s="269">
        <f aca="true" t="shared" si="290" ref="CJ88:CJ100">IF(CC88=0,"",IF(CC88&lt;AZ$5,0,IF(CC88&lt;AZ$9,CB$43*CB$44^(CC88-AZ$5),IF(CC88&lt;AZ$12,CB$47*CB$49^(CC88-AZ$9),CB$51*CB$53^(CC88-AZ$12)))))</f>
        <v>34.24245891949534</v>
      </c>
      <c r="CK88" s="269">
        <f aca="true" t="shared" si="291" ref="CK88:CK100">IF(CC88=0,"",IF(CC88&lt;AZ$31,0,IF(CC88&lt;AZ$35,CB$45*CB$46^(CC88-AZ$31),IF(CC88&lt;AZ$38,CB$48*CB$50^(CC88-AZ$35),CB$52*CB$54^(CC88-AZ$38)))))</f>
        <v>4.193968114519577</v>
      </c>
      <c r="CL88" s="270">
        <f aca="true" t="shared" si="292" ref="CL88:CL100">CL87+1</f>
        <v>2080</v>
      </c>
      <c r="CM88" s="271">
        <f t="shared" si="274"/>
        <v>0</v>
      </c>
      <c r="CN88" s="271">
        <f aca="true" t="shared" si="293" ref="CN88:CN100">IF(CB$4&lt;AW$36,BF88*CB$18,IF(CB$4&lt;AW$38,BM88*CB$18,BT88*CB$18))</f>
        <v>0</v>
      </c>
      <c r="CO88" s="271">
        <f aca="true" t="shared" si="294" ref="CO88:CO100">IF(CB$12&lt;AW$36,(BG88*CB$20)+(BH88*CB$21)+(BI88*CB$22)+(BJ88*CB$23),IF(CB$12&lt;AW$38,(BN88*CB$20)+(BO88*CB$21)+(BP88*CB$22)+(BQ88*CB$23),(BU88*CB$20)+(BV88*CB$21)+(BW88*CB$22)+(BX88*CB$23)))</f>
        <v>0</v>
      </c>
      <c r="CP88" s="271">
        <f t="shared" si="275"/>
        <v>0</v>
      </c>
      <c r="CQ88" s="271">
        <f t="shared" si="276"/>
        <v>0</v>
      </c>
      <c r="CR88" s="271">
        <f t="shared" si="277"/>
        <v>0</v>
      </c>
      <c r="CS88" s="271">
        <f aca="true" t="shared" si="295" ref="CS88:CS100">CM88-CP88-CQ88-CR88</f>
        <v>0</v>
      </c>
      <c r="CT88" s="271">
        <f aca="true" t="shared" si="296" ref="CT88:CT100">IF(CS88&lt;=0,0,1)</f>
        <v>0</v>
      </c>
      <c r="CU88" s="272">
        <f aca="true" t="shared" si="297" ref="CU88:CU100">CU87+1</f>
        <v>2080</v>
      </c>
      <c r="CV88" s="273">
        <f t="shared" si="278"/>
        <v>0</v>
      </c>
      <c r="CW88" s="273">
        <f t="shared" si="279"/>
        <v>0</v>
      </c>
      <c r="CX88" s="273">
        <f t="shared" si="280"/>
        <v>0</v>
      </c>
      <c r="CY88" s="273">
        <f>IF(CT87=0,0,IF(CT88&gt;0,0,IF(AND(SUM(CT$7:CT87)&gt;0,SUM(CT88:CT$100)=0),CB$42,0)))</f>
        <v>0</v>
      </c>
      <c r="CZ88" s="273">
        <f>IF(CT87=0,0,IF(CT88&gt;0,0,IF(AND(SUM(CT$7:CT87)&gt;0,SUM(CT88:CT$100)=0),CB$41,0)))</f>
        <v>0</v>
      </c>
      <c r="DA88" s="273">
        <f>IF(SUM(CT$7:CT$100)=0,0,IF(SUM(CT88:CT$100)=0,CZ88-CY88,CM88-SUM(CN88:CR88)-CY88+CZ88))</f>
        <v>0</v>
      </c>
      <c r="DB88" s="274">
        <f aca="true" t="shared" si="298" ref="DB88:DB100">DB87+1</f>
        <v>2080</v>
      </c>
      <c r="DC88" s="275">
        <f t="shared" si="254"/>
        <v>0</v>
      </c>
      <c r="DD88" s="275">
        <f t="shared" si="255"/>
        <v>0</v>
      </c>
      <c r="DE88" s="275">
        <f t="shared" si="256"/>
        <v>0</v>
      </c>
      <c r="DF88" s="275">
        <f t="shared" si="257"/>
        <v>0</v>
      </c>
      <c r="DG88" s="360">
        <f t="shared" si="258"/>
        <v>0</v>
      </c>
      <c r="DH88" s="56"/>
      <c r="DI88" s="56"/>
      <c r="DJ88" s="233"/>
      <c r="DK88" s="233"/>
      <c r="DL88" s="37"/>
      <c r="DM88" s="37"/>
      <c r="DN88" s="37"/>
    </row>
    <row r="89" spans="1:118" ht="15">
      <c r="A89" s="206"/>
      <c r="B89" s="9"/>
      <c r="C89" s="9"/>
      <c r="D89" s="236"/>
      <c r="E89" s="236"/>
      <c r="F89" s="238">
        <f t="shared" si="203"/>
        <v>0</v>
      </c>
      <c r="G89" s="329"/>
      <c r="H89" s="239">
        <f t="shared" si="204"/>
        <v>0</v>
      </c>
      <c r="I89" s="351"/>
      <c r="J89" s="240">
        <f t="shared" si="205"/>
        <v>0</v>
      </c>
      <c r="K89" s="329"/>
      <c r="L89" s="241">
        <f t="shared" si="206"/>
        <v>0</v>
      </c>
      <c r="M89" s="326"/>
      <c r="N89" s="242">
        <f t="shared" si="207"/>
        <v>0</v>
      </c>
      <c r="O89" s="326"/>
      <c r="P89" s="243">
        <f t="shared" si="208"/>
        <v>0</v>
      </c>
      <c r="Q89" s="326"/>
      <c r="R89" s="244">
        <f t="shared" si="209"/>
        <v>0</v>
      </c>
      <c r="S89" s="325"/>
      <c r="T89" s="245">
        <f t="shared" si="210"/>
        <v>0</v>
      </c>
      <c r="U89" s="326"/>
      <c r="V89" s="246">
        <f t="shared" si="211"/>
        <v>0</v>
      </c>
      <c r="W89" s="326"/>
      <c r="X89" s="247">
        <f t="shared" si="212"/>
        <v>0</v>
      </c>
      <c r="Y89" s="248">
        <f t="shared" si="261"/>
        <v>0</v>
      </c>
      <c r="Z89" s="249">
        <f t="shared" si="262"/>
        <v>0</v>
      </c>
      <c r="AA89" s="249">
        <f t="shared" si="263"/>
        <v>0</v>
      </c>
      <c r="AB89" s="250">
        <f t="shared" si="264"/>
        <v>0</v>
      </c>
      <c r="AC89" s="250">
        <f t="shared" si="265"/>
        <v>0</v>
      </c>
      <c r="AD89" s="250">
        <f aca="true" t="shared" si="299" ref="AD89:AD100">AC89*($O89/1000)</f>
        <v>0</v>
      </c>
      <c r="AE89" s="239">
        <f t="shared" si="218"/>
        <v>0</v>
      </c>
      <c r="AF89" s="251">
        <f t="shared" si="266"/>
        <v>0</v>
      </c>
      <c r="AG89" s="251">
        <f t="shared" si="267"/>
        <v>0</v>
      </c>
      <c r="AH89" s="251">
        <f t="shared" si="281"/>
        <v>0</v>
      </c>
      <c r="AI89" s="251">
        <f t="shared" si="268"/>
        <v>0</v>
      </c>
      <c r="AJ89" s="251">
        <f t="shared" si="269"/>
        <v>0</v>
      </c>
      <c r="AK89" s="251">
        <f t="shared" si="282"/>
        <v>0</v>
      </c>
      <c r="AL89" s="245">
        <f t="shared" si="223"/>
        <v>0</v>
      </c>
      <c r="AM89" s="252">
        <f t="shared" si="283"/>
        <v>0</v>
      </c>
      <c r="AN89" s="252">
        <f t="shared" si="270"/>
        <v>0</v>
      </c>
      <c r="AO89" s="252">
        <f t="shared" si="271"/>
        <v>0</v>
      </c>
      <c r="AP89" s="252">
        <f t="shared" si="272"/>
        <v>0</v>
      </c>
      <c r="AQ89" s="252">
        <f t="shared" si="273"/>
        <v>0</v>
      </c>
      <c r="AR89" s="252">
        <f t="shared" si="284"/>
        <v>0</v>
      </c>
      <c r="AS89" s="131"/>
      <c r="AT89" s="131"/>
      <c r="AU89" s="132"/>
      <c r="AV89" s="37"/>
      <c r="AW89" s="37"/>
      <c r="AX89" s="37"/>
      <c r="AY89" s="347"/>
      <c r="AZ89" s="347"/>
      <c r="BA89" s="131"/>
      <c r="BB89" s="131"/>
      <c r="BC89" s="131"/>
      <c r="BD89" s="131"/>
      <c r="BE89" s="133"/>
      <c r="BF89" s="341"/>
      <c r="BG89" s="342"/>
      <c r="BH89" s="343"/>
      <c r="BI89" s="344"/>
      <c r="BJ89" s="345"/>
      <c r="BK89" s="346"/>
      <c r="BL89" s="135"/>
      <c r="BM89" s="341"/>
      <c r="BN89" s="342"/>
      <c r="BO89" s="343"/>
      <c r="BP89" s="344"/>
      <c r="BQ89" s="345"/>
      <c r="BR89" s="346"/>
      <c r="BS89" s="136"/>
      <c r="BT89" s="341"/>
      <c r="BU89" s="342"/>
      <c r="BV89" s="343"/>
      <c r="BW89" s="344"/>
      <c r="BX89" s="345"/>
      <c r="BY89" s="346"/>
      <c r="BZ89" s="156"/>
      <c r="CA89" s="156"/>
      <c r="CB89" s="156"/>
      <c r="CC89" s="266">
        <f t="shared" si="285"/>
        <v>2081</v>
      </c>
      <c r="CD89" s="267">
        <f t="shared" si="260"/>
        <v>0</v>
      </c>
      <c r="CE89" s="267">
        <f t="shared" si="286"/>
        <v>0</v>
      </c>
      <c r="CF89" s="267">
        <f t="shared" si="287"/>
        <v>0</v>
      </c>
      <c r="CG89" s="267">
        <f t="shared" si="259"/>
        <v>0</v>
      </c>
      <c r="CH89" s="267">
        <f t="shared" si="288"/>
        <v>0</v>
      </c>
      <c r="CI89" s="267">
        <f t="shared" si="289"/>
        <v>0</v>
      </c>
      <c r="CJ89" s="269">
        <f t="shared" si="290"/>
        <v>34.4821561319318</v>
      </c>
      <c r="CK89" s="269">
        <f t="shared" si="291"/>
        <v>4.219131923206695</v>
      </c>
      <c r="CL89" s="270">
        <f t="shared" si="292"/>
        <v>2081</v>
      </c>
      <c r="CM89" s="271">
        <f t="shared" si="274"/>
        <v>0</v>
      </c>
      <c r="CN89" s="271">
        <f t="shared" si="293"/>
        <v>0</v>
      </c>
      <c r="CO89" s="271">
        <f t="shared" si="294"/>
        <v>0</v>
      </c>
      <c r="CP89" s="271">
        <f t="shared" si="275"/>
        <v>0</v>
      </c>
      <c r="CQ89" s="271">
        <f t="shared" si="276"/>
        <v>0</v>
      </c>
      <c r="CR89" s="271">
        <f t="shared" si="277"/>
        <v>0</v>
      </c>
      <c r="CS89" s="271">
        <f t="shared" si="295"/>
        <v>0</v>
      </c>
      <c r="CT89" s="271">
        <f t="shared" si="296"/>
        <v>0</v>
      </c>
      <c r="CU89" s="272">
        <f t="shared" si="297"/>
        <v>2081</v>
      </c>
      <c r="CV89" s="273">
        <f t="shared" si="278"/>
        <v>0</v>
      </c>
      <c r="CW89" s="273">
        <f t="shared" si="279"/>
        <v>0</v>
      </c>
      <c r="CX89" s="273">
        <f t="shared" si="280"/>
        <v>0</v>
      </c>
      <c r="CY89" s="273">
        <f>IF(CT88=0,0,IF(CT89&gt;0,0,IF(AND(SUM(CT$7:CT88)&gt;0,SUM(CT89:CT$100)=0),CB$42,0)))</f>
        <v>0</v>
      </c>
      <c r="CZ89" s="273">
        <f>IF(CT88=0,0,IF(CT89&gt;0,0,IF(AND(SUM(CT$7:CT88)&gt;0,SUM(CT89:CT$100)=0),CB$41,0)))</f>
        <v>0</v>
      </c>
      <c r="DA89" s="273">
        <f>IF(SUM(CT$7:CT$100)=0,0,IF(SUM(CT89:CT$100)=0,CZ89-CY89,CM89-SUM(CN89:CR89)-CY89+CZ89))</f>
        <v>0</v>
      </c>
      <c r="DB89" s="274">
        <f t="shared" si="298"/>
        <v>2081</v>
      </c>
      <c r="DC89" s="275">
        <f t="shared" si="254"/>
        <v>0</v>
      </c>
      <c r="DD89" s="275">
        <f t="shared" si="255"/>
        <v>0</v>
      </c>
      <c r="DE89" s="275">
        <f t="shared" si="256"/>
        <v>0</v>
      </c>
      <c r="DF89" s="275">
        <f t="shared" si="257"/>
        <v>0</v>
      </c>
      <c r="DG89" s="360">
        <f t="shared" si="258"/>
        <v>0</v>
      </c>
      <c r="DH89" s="56"/>
      <c r="DI89" s="56"/>
      <c r="DJ89" s="233"/>
      <c r="DK89" s="233"/>
      <c r="DL89" s="37"/>
      <c r="DM89" s="37"/>
      <c r="DN89" s="37"/>
    </row>
    <row r="90" spans="1:118" ht="15">
      <c r="A90" s="206"/>
      <c r="B90" s="9"/>
      <c r="C90" s="9"/>
      <c r="D90" s="236"/>
      <c r="E90" s="236"/>
      <c r="F90" s="238">
        <f t="shared" si="203"/>
        <v>0</v>
      </c>
      <c r="G90" s="329"/>
      <c r="H90" s="239">
        <f t="shared" si="204"/>
        <v>0</v>
      </c>
      <c r="I90" s="351"/>
      <c r="J90" s="240">
        <f t="shared" si="205"/>
        <v>0</v>
      </c>
      <c r="K90" s="329"/>
      <c r="L90" s="241">
        <f t="shared" si="206"/>
        <v>0</v>
      </c>
      <c r="M90" s="326"/>
      <c r="N90" s="242">
        <f t="shared" si="207"/>
        <v>0</v>
      </c>
      <c r="O90" s="326"/>
      <c r="P90" s="243">
        <f t="shared" si="208"/>
        <v>0</v>
      </c>
      <c r="Q90" s="326"/>
      <c r="R90" s="244">
        <f t="shared" si="209"/>
        <v>0</v>
      </c>
      <c r="S90" s="325"/>
      <c r="T90" s="245">
        <f t="shared" si="210"/>
        <v>0</v>
      </c>
      <c r="U90" s="326"/>
      <c r="V90" s="246">
        <f t="shared" si="211"/>
        <v>0</v>
      </c>
      <c r="W90" s="326"/>
      <c r="X90" s="247">
        <f t="shared" si="212"/>
        <v>0</v>
      </c>
      <c r="Y90" s="248">
        <f t="shared" si="261"/>
        <v>0</v>
      </c>
      <c r="Z90" s="249">
        <f t="shared" si="262"/>
        <v>0</v>
      </c>
      <c r="AA90" s="249">
        <f t="shared" si="263"/>
        <v>0</v>
      </c>
      <c r="AB90" s="250">
        <f t="shared" si="264"/>
        <v>0</v>
      </c>
      <c r="AC90" s="250">
        <f t="shared" si="265"/>
        <v>0</v>
      </c>
      <c r="AD90" s="250">
        <f t="shared" si="299"/>
        <v>0</v>
      </c>
      <c r="AE90" s="239">
        <f t="shared" si="218"/>
        <v>0</v>
      </c>
      <c r="AF90" s="251">
        <f t="shared" si="266"/>
        <v>0</v>
      </c>
      <c r="AG90" s="251">
        <f t="shared" si="267"/>
        <v>0</v>
      </c>
      <c r="AH90" s="251">
        <f t="shared" si="281"/>
        <v>0</v>
      </c>
      <c r="AI90" s="251">
        <f t="shared" si="268"/>
        <v>0</v>
      </c>
      <c r="AJ90" s="251">
        <f t="shared" si="269"/>
        <v>0</v>
      </c>
      <c r="AK90" s="251">
        <f t="shared" si="282"/>
        <v>0</v>
      </c>
      <c r="AL90" s="245">
        <f t="shared" si="223"/>
        <v>0</v>
      </c>
      <c r="AM90" s="252">
        <f t="shared" si="283"/>
        <v>0</v>
      </c>
      <c r="AN90" s="252">
        <f t="shared" si="270"/>
        <v>0</v>
      </c>
      <c r="AO90" s="252">
        <f t="shared" si="271"/>
        <v>0</v>
      </c>
      <c r="AP90" s="252">
        <f t="shared" si="272"/>
        <v>0</v>
      </c>
      <c r="AQ90" s="252">
        <f t="shared" si="273"/>
        <v>0</v>
      </c>
      <c r="AR90" s="252">
        <f t="shared" si="284"/>
        <v>0</v>
      </c>
      <c r="AS90" s="131"/>
      <c r="AT90" s="131"/>
      <c r="AU90" s="132"/>
      <c r="AV90" s="37"/>
      <c r="AW90" s="37"/>
      <c r="AX90" s="37"/>
      <c r="AY90" s="347"/>
      <c r="AZ90" s="347"/>
      <c r="BA90" s="131"/>
      <c r="BB90" s="131"/>
      <c r="BC90" s="131"/>
      <c r="BD90" s="131"/>
      <c r="BE90" s="133"/>
      <c r="BF90" s="341"/>
      <c r="BG90" s="342"/>
      <c r="BH90" s="343"/>
      <c r="BI90" s="344"/>
      <c r="BJ90" s="345"/>
      <c r="BK90" s="346"/>
      <c r="BL90" s="135"/>
      <c r="BM90" s="341"/>
      <c r="BN90" s="342"/>
      <c r="BO90" s="343"/>
      <c r="BP90" s="344"/>
      <c r="BQ90" s="345"/>
      <c r="BR90" s="346"/>
      <c r="BS90" s="136"/>
      <c r="BT90" s="341"/>
      <c r="BU90" s="342"/>
      <c r="BV90" s="343"/>
      <c r="BW90" s="344"/>
      <c r="BX90" s="345"/>
      <c r="BY90" s="346"/>
      <c r="BZ90" s="156"/>
      <c r="CA90" s="156"/>
      <c r="CB90" s="156"/>
      <c r="CC90" s="266">
        <f t="shared" si="285"/>
        <v>2082</v>
      </c>
      <c r="CD90" s="267">
        <f t="shared" si="260"/>
        <v>0</v>
      </c>
      <c r="CE90" s="267">
        <f t="shared" si="286"/>
        <v>0</v>
      </c>
      <c r="CF90" s="267">
        <f t="shared" si="287"/>
        <v>0</v>
      </c>
      <c r="CG90" s="267">
        <f t="shared" si="259"/>
        <v>0</v>
      </c>
      <c r="CH90" s="267">
        <f t="shared" si="288"/>
        <v>0</v>
      </c>
      <c r="CI90" s="267">
        <f t="shared" si="289"/>
        <v>0</v>
      </c>
      <c r="CJ90" s="269">
        <f t="shared" si="290"/>
        <v>34.723531224855314</v>
      </c>
      <c r="CK90" s="269">
        <f t="shared" si="291"/>
        <v>4.244446714745935</v>
      </c>
      <c r="CL90" s="270">
        <f t="shared" si="292"/>
        <v>2082</v>
      </c>
      <c r="CM90" s="271">
        <f t="shared" si="274"/>
        <v>0</v>
      </c>
      <c r="CN90" s="271">
        <f t="shared" si="293"/>
        <v>0</v>
      </c>
      <c r="CO90" s="271">
        <f t="shared" si="294"/>
        <v>0</v>
      </c>
      <c r="CP90" s="271">
        <f t="shared" si="275"/>
        <v>0</v>
      </c>
      <c r="CQ90" s="271">
        <f t="shared" si="276"/>
        <v>0</v>
      </c>
      <c r="CR90" s="271">
        <f t="shared" si="277"/>
        <v>0</v>
      </c>
      <c r="CS90" s="271">
        <f t="shared" si="295"/>
        <v>0</v>
      </c>
      <c r="CT90" s="271">
        <f t="shared" si="296"/>
        <v>0</v>
      </c>
      <c r="CU90" s="272">
        <f t="shared" si="297"/>
        <v>2082</v>
      </c>
      <c r="CV90" s="273">
        <f t="shared" si="278"/>
        <v>0</v>
      </c>
      <c r="CW90" s="273">
        <f t="shared" si="279"/>
        <v>0</v>
      </c>
      <c r="CX90" s="273">
        <f t="shared" si="280"/>
        <v>0</v>
      </c>
      <c r="CY90" s="273">
        <f>IF(CT89=0,0,IF(CT90&gt;0,0,IF(AND(SUM(CT$7:CT89)&gt;0,SUM(CT90:CT$100)=0),CB$42,0)))</f>
        <v>0</v>
      </c>
      <c r="CZ90" s="273">
        <f>IF(CT89=0,0,IF(CT90&gt;0,0,IF(AND(SUM(CT$7:CT89)&gt;0,SUM(CT90:CT$100)=0),CB$41,0)))</f>
        <v>0</v>
      </c>
      <c r="DA90" s="273">
        <f>IF(SUM(CT$7:CT$100)=0,0,IF(SUM(CT90:CT$100)=0,CZ90-CY90,CM90-SUM(CN90:CR90)-CY90+CZ90))</f>
        <v>0</v>
      </c>
      <c r="DB90" s="274">
        <f t="shared" si="298"/>
        <v>2082</v>
      </c>
      <c r="DC90" s="275">
        <f t="shared" si="254"/>
        <v>0</v>
      </c>
      <c r="DD90" s="275">
        <f t="shared" si="255"/>
        <v>0</v>
      </c>
      <c r="DE90" s="275">
        <f t="shared" si="256"/>
        <v>0</v>
      </c>
      <c r="DF90" s="275">
        <f t="shared" si="257"/>
        <v>0</v>
      </c>
      <c r="DG90" s="360">
        <f t="shared" si="258"/>
        <v>0</v>
      </c>
      <c r="DH90" s="56"/>
      <c r="DI90" s="56"/>
      <c r="DJ90" s="233"/>
      <c r="DK90" s="233"/>
      <c r="DL90" s="37"/>
      <c r="DM90" s="37"/>
      <c r="DN90" s="37"/>
    </row>
    <row r="91" spans="1:118" ht="15">
      <c r="A91" s="206"/>
      <c r="B91" s="9"/>
      <c r="C91" s="9"/>
      <c r="D91" s="236"/>
      <c r="E91" s="236"/>
      <c r="F91" s="238">
        <f t="shared" si="203"/>
        <v>0</v>
      </c>
      <c r="G91" s="329"/>
      <c r="H91" s="239">
        <f t="shared" si="204"/>
        <v>0</v>
      </c>
      <c r="I91" s="351"/>
      <c r="J91" s="240">
        <f t="shared" si="205"/>
        <v>0</v>
      </c>
      <c r="K91" s="329"/>
      <c r="L91" s="241">
        <f t="shared" si="206"/>
        <v>0</v>
      </c>
      <c r="M91" s="326"/>
      <c r="N91" s="242">
        <f t="shared" si="207"/>
        <v>0</v>
      </c>
      <c r="O91" s="326"/>
      <c r="P91" s="243">
        <f t="shared" si="208"/>
        <v>0</v>
      </c>
      <c r="Q91" s="326"/>
      <c r="R91" s="244">
        <f t="shared" si="209"/>
        <v>0</v>
      </c>
      <c r="S91" s="325"/>
      <c r="T91" s="245">
        <f t="shared" si="210"/>
        <v>0</v>
      </c>
      <c r="U91" s="326"/>
      <c r="V91" s="246">
        <f t="shared" si="211"/>
        <v>0</v>
      </c>
      <c r="W91" s="326"/>
      <c r="X91" s="247">
        <f t="shared" si="212"/>
        <v>0</v>
      </c>
      <c r="Y91" s="248">
        <f t="shared" si="261"/>
        <v>0</v>
      </c>
      <c r="Z91" s="249">
        <f t="shared" si="262"/>
        <v>0</v>
      </c>
      <c r="AA91" s="249">
        <f t="shared" si="263"/>
        <v>0</v>
      </c>
      <c r="AB91" s="250">
        <f t="shared" si="264"/>
        <v>0</v>
      </c>
      <c r="AC91" s="250">
        <f t="shared" si="265"/>
        <v>0</v>
      </c>
      <c r="AD91" s="250">
        <f t="shared" si="299"/>
        <v>0</v>
      </c>
      <c r="AE91" s="239">
        <f t="shared" si="218"/>
        <v>0</v>
      </c>
      <c r="AF91" s="251">
        <f t="shared" si="266"/>
        <v>0</v>
      </c>
      <c r="AG91" s="251">
        <f t="shared" si="267"/>
        <v>0</v>
      </c>
      <c r="AH91" s="251">
        <f t="shared" si="281"/>
        <v>0</v>
      </c>
      <c r="AI91" s="251">
        <f t="shared" si="268"/>
        <v>0</v>
      </c>
      <c r="AJ91" s="251">
        <f t="shared" si="269"/>
        <v>0</v>
      </c>
      <c r="AK91" s="251">
        <f t="shared" si="282"/>
        <v>0</v>
      </c>
      <c r="AL91" s="245">
        <f t="shared" si="223"/>
        <v>0</v>
      </c>
      <c r="AM91" s="252">
        <f t="shared" si="283"/>
        <v>0</v>
      </c>
      <c r="AN91" s="252">
        <f t="shared" si="270"/>
        <v>0</v>
      </c>
      <c r="AO91" s="252">
        <f t="shared" si="271"/>
        <v>0</v>
      </c>
      <c r="AP91" s="252">
        <f t="shared" si="272"/>
        <v>0</v>
      </c>
      <c r="AQ91" s="252">
        <f t="shared" si="273"/>
        <v>0</v>
      </c>
      <c r="AR91" s="252">
        <f t="shared" si="284"/>
        <v>0</v>
      </c>
      <c r="AS91" s="131"/>
      <c r="AT91" s="131"/>
      <c r="AU91" s="132"/>
      <c r="AV91" s="37"/>
      <c r="AW91" s="37"/>
      <c r="AX91" s="37"/>
      <c r="AY91" s="194"/>
      <c r="AZ91" s="194"/>
      <c r="BA91" s="131"/>
      <c r="BB91" s="131"/>
      <c r="BC91" s="131"/>
      <c r="BD91" s="131"/>
      <c r="BE91" s="133"/>
      <c r="BF91" s="341"/>
      <c r="BG91" s="355"/>
      <c r="BH91" s="343"/>
      <c r="BI91" s="344"/>
      <c r="BJ91" s="345"/>
      <c r="BK91" s="346"/>
      <c r="BL91" s="135"/>
      <c r="BM91" s="341"/>
      <c r="BN91" s="342"/>
      <c r="BO91" s="343"/>
      <c r="BP91" s="344"/>
      <c r="BQ91" s="345"/>
      <c r="BR91" s="346"/>
      <c r="BS91" s="136"/>
      <c r="BT91" s="341"/>
      <c r="BU91" s="342"/>
      <c r="BV91" s="343"/>
      <c r="BW91" s="344"/>
      <c r="BX91" s="345"/>
      <c r="BY91" s="346"/>
      <c r="BZ91" s="156"/>
      <c r="CA91" s="156"/>
      <c r="CB91" s="156"/>
      <c r="CC91" s="266">
        <f t="shared" si="285"/>
        <v>2083</v>
      </c>
      <c r="CD91" s="267">
        <f t="shared" si="260"/>
        <v>0</v>
      </c>
      <c r="CE91" s="267">
        <f t="shared" si="286"/>
        <v>0</v>
      </c>
      <c r="CF91" s="267">
        <f t="shared" si="287"/>
        <v>0</v>
      </c>
      <c r="CG91" s="267">
        <f aca="true" t="shared" si="300" ref="CG91:CG100">IF(CB$5&gt;=CB$6,IF(CF91&gt;0,CB$8,IF(AND(CE91=0,CF90&lt;CB$8),CF90,CE91+CF90)),IF(CF91&gt;0,CB$9,IF(AND(CE91=0,CF90&lt;CB$9),CF90,CE91+CF90)))</f>
        <v>0</v>
      </c>
      <c r="CH91" s="267">
        <f t="shared" si="288"/>
        <v>0</v>
      </c>
      <c r="CI91" s="267">
        <f t="shared" si="289"/>
        <v>0</v>
      </c>
      <c r="CJ91" s="269">
        <f t="shared" si="290"/>
        <v>34.966595943429304</v>
      </c>
      <c r="CK91" s="269">
        <f t="shared" si="291"/>
        <v>4.26991339503441</v>
      </c>
      <c r="CL91" s="270">
        <f t="shared" si="292"/>
        <v>2083</v>
      </c>
      <c r="CM91" s="271">
        <f t="shared" si="274"/>
        <v>0</v>
      </c>
      <c r="CN91" s="271">
        <f t="shared" si="293"/>
        <v>0</v>
      </c>
      <c r="CO91" s="271">
        <f t="shared" si="294"/>
        <v>0</v>
      </c>
      <c r="CP91" s="271">
        <f t="shared" si="275"/>
        <v>0</v>
      </c>
      <c r="CQ91" s="271">
        <f t="shared" si="276"/>
        <v>0</v>
      </c>
      <c r="CR91" s="271">
        <f t="shared" si="277"/>
        <v>0</v>
      </c>
      <c r="CS91" s="271">
        <f t="shared" si="295"/>
        <v>0</v>
      </c>
      <c r="CT91" s="271">
        <f t="shared" si="296"/>
        <v>0</v>
      </c>
      <c r="CU91" s="272">
        <f t="shared" si="297"/>
        <v>2083</v>
      </c>
      <c r="CV91" s="273">
        <f t="shared" si="278"/>
        <v>0</v>
      </c>
      <c r="CW91" s="273">
        <f t="shared" si="279"/>
        <v>0</v>
      </c>
      <c r="CX91" s="273">
        <f t="shared" si="280"/>
        <v>0</v>
      </c>
      <c r="CY91" s="273">
        <f>IF(CT90=0,0,IF(CT91&gt;0,0,IF(AND(SUM(CT$7:CT90)&gt;0,SUM(CT91:CT$100)=0),CB$42,0)))</f>
        <v>0</v>
      </c>
      <c r="CZ91" s="273">
        <f>IF(CT90=0,0,IF(CT91&gt;0,0,IF(AND(SUM(CT$7:CT90)&gt;0,SUM(CT91:CT$100)=0),CB$41,0)))</f>
        <v>0</v>
      </c>
      <c r="DA91" s="273">
        <f>IF(SUM(CT$7:CT$100)=0,0,IF(SUM(CT91:CT$100)=0,CZ91-CY91,CM91-SUM(CN91:CR91)-CY91+CZ91))</f>
        <v>0</v>
      </c>
      <c r="DB91" s="274">
        <f t="shared" si="298"/>
        <v>2083</v>
      </c>
      <c r="DC91" s="275">
        <f t="shared" si="254"/>
        <v>0</v>
      </c>
      <c r="DD91" s="275">
        <f t="shared" si="255"/>
        <v>0</v>
      </c>
      <c r="DE91" s="275">
        <f t="shared" si="256"/>
        <v>0</v>
      </c>
      <c r="DF91" s="275">
        <f t="shared" si="257"/>
        <v>0</v>
      </c>
      <c r="DG91" s="360">
        <f t="shared" si="258"/>
        <v>0</v>
      </c>
      <c r="DH91" s="56"/>
      <c r="DI91" s="56"/>
      <c r="DJ91" s="233"/>
      <c r="DK91" s="233"/>
      <c r="DL91" s="37"/>
      <c r="DM91" s="37"/>
      <c r="DN91" s="37"/>
    </row>
    <row r="92" spans="1:118" ht="15">
      <c r="A92" s="206"/>
      <c r="B92" s="9"/>
      <c r="C92" s="9"/>
      <c r="D92" s="236"/>
      <c r="E92" s="236"/>
      <c r="F92" s="238">
        <f t="shared" si="203"/>
        <v>0</v>
      </c>
      <c r="G92" s="329"/>
      <c r="H92" s="239">
        <f t="shared" si="204"/>
        <v>0</v>
      </c>
      <c r="I92" s="351"/>
      <c r="J92" s="240">
        <f t="shared" si="205"/>
        <v>0</v>
      </c>
      <c r="K92" s="329"/>
      <c r="L92" s="241">
        <f t="shared" si="206"/>
        <v>0</v>
      </c>
      <c r="M92" s="326"/>
      <c r="N92" s="242">
        <f t="shared" si="207"/>
        <v>0</v>
      </c>
      <c r="O92" s="326"/>
      <c r="P92" s="243">
        <f t="shared" si="208"/>
        <v>0</v>
      </c>
      <c r="Q92" s="326"/>
      <c r="R92" s="244">
        <f t="shared" si="209"/>
        <v>0</v>
      </c>
      <c r="S92" s="325"/>
      <c r="T92" s="245">
        <f t="shared" si="210"/>
        <v>0</v>
      </c>
      <c r="U92" s="326"/>
      <c r="V92" s="246">
        <f t="shared" si="211"/>
        <v>0</v>
      </c>
      <c r="W92" s="326"/>
      <c r="X92" s="247">
        <f t="shared" si="212"/>
        <v>0</v>
      </c>
      <c r="Y92" s="248">
        <f t="shared" si="261"/>
        <v>0</v>
      </c>
      <c r="Z92" s="249">
        <f t="shared" si="262"/>
        <v>0</v>
      </c>
      <c r="AA92" s="249">
        <f t="shared" si="263"/>
        <v>0</v>
      </c>
      <c r="AB92" s="250">
        <f t="shared" si="264"/>
        <v>0</v>
      </c>
      <c r="AC92" s="250">
        <f t="shared" si="265"/>
        <v>0</v>
      </c>
      <c r="AD92" s="250">
        <f t="shared" si="299"/>
        <v>0</v>
      </c>
      <c r="AE92" s="239">
        <f t="shared" si="218"/>
        <v>0</v>
      </c>
      <c r="AF92" s="251">
        <f t="shared" si="266"/>
        <v>0</v>
      </c>
      <c r="AG92" s="251">
        <f t="shared" si="267"/>
        <v>0</v>
      </c>
      <c r="AH92" s="251">
        <f t="shared" si="281"/>
        <v>0</v>
      </c>
      <c r="AI92" s="251">
        <f t="shared" si="268"/>
        <v>0</v>
      </c>
      <c r="AJ92" s="251">
        <f t="shared" si="269"/>
        <v>0</v>
      </c>
      <c r="AK92" s="251">
        <f t="shared" si="282"/>
        <v>0</v>
      </c>
      <c r="AL92" s="245">
        <f t="shared" si="223"/>
        <v>0</v>
      </c>
      <c r="AM92" s="252">
        <f t="shared" si="283"/>
        <v>0</v>
      </c>
      <c r="AN92" s="252">
        <f t="shared" si="270"/>
        <v>0</v>
      </c>
      <c r="AO92" s="252">
        <f t="shared" si="271"/>
        <v>0</v>
      </c>
      <c r="AP92" s="252">
        <f t="shared" si="272"/>
        <v>0</v>
      </c>
      <c r="AQ92" s="252">
        <f t="shared" si="273"/>
        <v>0</v>
      </c>
      <c r="AR92" s="252">
        <f t="shared" si="284"/>
        <v>0</v>
      </c>
      <c r="AS92" s="131"/>
      <c r="AT92" s="131"/>
      <c r="AU92" s="132"/>
      <c r="AV92" s="37"/>
      <c r="AW92" s="37"/>
      <c r="AX92" s="37"/>
      <c r="AY92" s="347"/>
      <c r="AZ92" s="347"/>
      <c r="BA92" s="131"/>
      <c r="BB92" s="131"/>
      <c r="BC92" s="131"/>
      <c r="BD92" s="131"/>
      <c r="BE92" s="133"/>
      <c r="BF92" s="341"/>
      <c r="BG92" s="355"/>
      <c r="BH92" s="343"/>
      <c r="BI92" s="344"/>
      <c r="BJ92" s="345"/>
      <c r="BK92" s="346"/>
      <c r="BL92" s="135"/>
      <c r="BM92" s="341"/>
      <c r="BN92" s="342"/>
      <c r="BO92" s="343"/>
      <c r="BP92" s="344"/>
      <c r="BQ92" s="345"/>
      <c r="BR92" s="346"/>
      <c r="BS92" s="136"/>
      <c r="BT92" s="341"/>
      <c r="BU92" s="342"/>
      <c r="BV92" s="343"/>
      <c r="BW92" s="344"/>
      <c r="BX92" s="345"/>
      <c r="BY92" s="346"/>
      <c r="BZ92" s="156"/>
      <c r="CA92" s="156"/>
      <c r="CB92" s="156"/>
      <c r="CC92" s="266">
        <f t="shared" si="285"/>
        <v>2084</v>
      </c>
      <c r="CD92" s="267">
        <f aca="true" t="shared" si="301" ref="CD92:CD100">IF(CB$12&lt;AW$36,BK92,IF(CB$12&lt;AW$38,BR92,BY92))</f>
        <v>0</v>
      </c>
      <c r="CE92" s="267">
        <f t="shared" si="286"/>
        <v>0</v>
      </c>
      <c r="CF92" s="267">
        <f t="shared" si="287"/>
        <v>0</v>
      </c>
      <c r="CG92" s="267">
        <f t="shared" si="300"/>
        <v>0</v>
      </c>
      <c r="CH92" s="267">
        <f t="shared" si="288"/>
        <v>0</v>
      </c>
      <c r="CI92" s="267">
        <f t="shared" si="289"/>
        <v>0</v>
      </c>
      <c r="CJ92" s="269">
        <f t="shared" si="290"/>
        <v>35.21136211503331</v>
      </c>
      <c r="CK92" s="269">
        <f t="shared" si="291"/>
        <v>4.295532875404616</v>
      </c>
      <c r="CL92" s="270">
        <f t="shared" si="292"/>
        <v>2084</v>
      </c>
      <c r="CM92" s="271">
        <f t="shared" si="274"/>
        <v>0</v>
      </c>
      <c r="CN92" s="271">
        <f t="shared" si="293"/>
        <v>0</v>
      </c>
      <c r="CO92" s="271">
        <f t="shared" si="294"/>
        <v>0</v>
      </c>
      <c r="CP92" s="271">
        <f t="shared" si="275"/>
        <v>0</v>
      </c>
      <c r="CQ92" s="271">
        <f t="shared" si="276"/>
        <v>0</v>
      </c>
      <c r="CR92" s="271">
        <f t="shared" si="277"/>
        <v>0</v>
      </c>
      <c r="CS92" s="271">
        <f t="shared" si="295"/>
        <v>0</v>
      </c>
      <c r="CT92" s="271">
        <f t="shared" si="296"/>
        <v>0</v>
      </c>
      <c r="CU92" s="272">
        <f t="shared" si="297"/>
        <v>2084</v>
      </c>
      <c r="CV92" s="273">
        <f t="shared" si="278"/>
        <v>0</v>
      </c>
      <c r="CW92" s="273">
        <f t="shared" si="279"/>
        <v>0</v>
      </c>
      <c r="CX92" s="273">
        <f t="shared" si="280"/>
        <v>0</v>
      </c>
      <c r="CY92" s="273">
        <f>IF(CT91=0,0,IF(CT92&gt;0,0,IF(AND(SUM(CT$7:CT91)&gt;0,SUM(CT92:CT$100)=0),CB$42,0)))</f>
        <v>0</v>
      </c>
      <c r="CZ92" s="273">
        <f>IF(CT91=0,0,IF(CT92&gt;0,0,IF(AND(SUM(CT$7:CT91)&gt;0,SUM(CT92:CT$100)=0),CB$41,0)))</f>
        <v>0</v>
      </c>
      <c r="DA92" s="273">
        <f>IF(SUM(CT$7:CT$100)=0,0,IF(SUM(CT92:CT$100)=0,CZ92-CY92,CM92-SUM(CN92:CR92)-CY92+CZ92))</f>
        <v>0</v>
      </c>
      <c r="DB92" s="274">
        <f t="shared" si="298"/>
        <v>2084</v>
      </c>
      <c r="DC92" s="275">
        <f t="shared" si="254"/>
        <v>0</v>
      </c>
      <c r="DD92" s="275">
        <f t="shared" si="255"/>
        <v>0</v>
      </c>
      <c r="DE92" s="275">
        <f t="shared" si="256"/>
        <v>0</v>
      </c>
      <c r="DF92" s="275">
        <f t="shared" si="257"/>
        <v>0</v>
      </c>
      <c r="DG92" s="360">
        <f t="shared" si="258"/>
        <v>0</v>
      </c>
      <c r="DH92" s="56"/>
      <c r="DI92" s="56"/>
      <c r="DJ92" s="233"/>
      <c r="DK92" s="233"/>
      <c r="DL92" s="37"/>
      <c r="DM92" s="37"/>
      <c r="DN92" s="37"/>
    </row>
    <row r="93" spans="1:118" ht="15">
      <c r="A93" s="206"/>
      <c r="B93" s="9"/>
      <c r="C93" s="9"/>
      <c r="D93" s="236"/>
      <c r="E93" s="236"/>
      <c r="F93" s="238">
        <f t="shared" si="203"/>
        <v>0</v>
      </c>
      <c r="G93" s="329"/>
      <c r="H93" s="239">
        <f t="shared" si="204"/>
        <v>0</v>
      </c>
      <c r="I93" s="351"/>
      <c r="J93" s="240">
        <f t="shared" si="205"/>
        <v>0</v>
      </c>
      <c r="K93" s="329"/>
      <c r="L93" s="241">
        <f t="shared" si="206"/>
        <v>0</v>
      </c>
      <c r="M93" s="326"/>
      <c r="N93" s="242">
        <f t="shared" si="207"/>
        <v>0</v>
      </c>
      <c r="O93" s="326"/>
      <c r="P93" s="243">
        <f t="shared" si="208"/>
        <v>0</v>
      </c>
      <c r="Q93" s="326"/>
      <c r="R93" s="244">
        <f t="shared" si="209"/>
        <v>0</v>
      </c>
      <c r="S93" s="325"/>
      <c r="T93" s="245">
        <f t="shared" si="210"/>
        <v>0</v>
      </c>
      <c r="U93" s="326"/>
      <c r="V93" s="246">
        <f t="shared" si="211"/>
        <v>0</v>
      </c>
      <c r="W93" s="326"/>
      <c r="X93" s="247">
        <f t="shared" si="212"/>
        <v>0</v>
      </c>
      <c r="Y93" s="248">
        <f t="shared" si="261"/>
        <v>0</v>
      </c>
      <c r="Z93" s="249">
        <f t="shared" si="262"/>
        <v>0</v>
      </c>
      <c r="AA93" s="249">
        <f t="shared" si="263"/>
        <v>0</v>
      </c>
      <c r="AB93" s="250">
        <f t="shared" si="264"/>
        <v>0</v>
      </c>
      <c r="AC93" s="250">
        <f t="shared" si="265"/>
        <v>0</v>
      </c>
      <c r="AD93" s="250">
        <f t="shared" si="299"/>
        <v>0</v>
      </c>
      <c r="AE93" s="239">
        <f t="shared" si="218"/>
        <v>0</v>
      </c>
      <c r="AF93" s="251">
        <f t="shared" si="266"/>
        <v>0</v>
      </c>
      <c r="AG93" s="251">
        <f t="shared" si="267"/>
        <v>0</v>
      </c>
      <c r="AH93" s="251">
        <f t="shared" si="281"/>
        <v>0</v>
      </c>
      <c r="AI93" s="251">
        <f t="shared" si="268"/>
        <v>0</v>
      </c>
      <c r="AJ93" s="251">
        <f t="shared" si="269"/>
        <v>0</v>
      </c>
      <c r="AK93" s="251">
        <f t="shared" si="282"/>
        <v>0</v>
      </c>
      <c r="AL93" s="245">
        <f t="shared" si="223"/>
        <v>0</v>
      </c>
      <c r="AM93" s="252">
        <f t="shared" si="283"/>
        <v>0</v>
      </c>
      <c r="AN93" s="252">
        <f t="shared" si="270"/>
        <v>0</v>
      </c>
      <c r="AO93" s="252">
        <f t="shared" si="271"/>
        <v>0</v>
      </c>
      <c r="AP93" s="252">
        <f t="shared" si="272"/>
        <v>0</v>
      </c>
      <c r="AQ93" s="252">
        <f t="shared" si="273"/>
        <v>0</v>
      </c>
      <c r="AR93" s="252">
        <f t="shared" si="284"/>
        <v>0</v>
      </c>
      <c r="AS93" s="131"/>
      <c r="AT93" s="131"/>
      <c r="AU93" s="132"/>
      <c r="AV93" s="37"/>
      <c r="AW93" s="37"/>
      <c r="AX93" s="37"/>
      <c r="AY93" s="347"/>
      <c r="AZ93" s="347"/>
      <c r="BA93" s="131"/>
      <c r="BB93" s="131"/>
      <c r="BC93" s="131"/>
      <c r="BD93" s="131"/>
      <c r="BE93" s="133"/>
      <c r="BF93" s="341"/>
      <c r="BG93" s="355"/>
      <c r="BH93" s="343"/>
      <c r="BI93" s="344"/>
      <c r="BJ93" s="345"/>
      <c r="BK93" s="346"/>
      <c r="BL93" s="135"/>
      <c r="BM93" s="341"/>
      <c r="BN93" s="342"/>
      <c r="BO93" s="343"/>
      <c r="BP93" s="344"/>
      <c r="BQ93" s="345"/>
      <c r="BR93" s="346"/>
      <c r="BS93" s="136"/>
      <c r="BT93" s="341"/>
      <c r="BU93" s="342"/>
      <c r="BV93" s="343"/>
      <c r="BW93" s="344"/>
      <c r="BX93" s="345"/>
      <c r="BY93" s="346"/>
      <c r="BZ93" s="156"/>
      <c r="CA93" s="156"/>
      <c r="CB93" s="156"/>
      <c r="CC93" s="266">
        <f t="shared" si="285"/>
        <v>2085</v>
      </c>
      <c r="CD93" s="267">
        <f t="shared" si="301"/>
        <v>0</v>
      </c>
      <c r="CE93" s="267">
        <f t="shared" si="286"/>
        <v>0</v>
      </c>
      <c r="CF93" s="267">
        <f t="shared" si="287"/>
        <v>0</v>
      </c>
      <c r="CG93" s="267">
        <f t="shared" si="300"/>
        <v>0</v>
      </c>
      <c r="CH93" s="267">
        <f t="shared" si="288"/>
        <v>0</v>
      </c>
      <c r="CI93" s="267">
        <f t="shared" si="289"/>
        <v>0</v>
      </c>
      <c r="CJ93" s="269">
        <f t="shared" si="290"/>
        <v>35.45784164983854</v>
      </c>
      <c r="CK93" s="269">
        <f t="shared" si="291"/>
        <v>4.321306072657045</v>
      </c>
      <c r="CL93" s="270">
        <f t="shared" si="292"/>
        <v>2085</v>
      </c>
      <c r="CM93" s="271">
        <f t="shared" si="274"/>
        <v>0</v>
      </c>
      <c r="CN93" s="271">
        <f t="shared" si="293"/>
        <v>0</v>
      </c>
      <c r="CO93" s="271">
        <f t="shared" si="294"/>
        <v>0</v>
      </c>
      <c r="CP93" s="271">
        <f t="shared" si="275"/>
        <v>0</v>
      </c>
      <c r="CQ93" s="271">
        <f t="shared" si="276"/>
        <v>0</v>
      </c>
      <c r="CR93" s="271">
        <f t="shared" si="277"/>
        <v>0</v>
      </c>
      <c r="CS93" s="271">
        <f t="shared" si="295"/>
        <v>0</v>
      </c>
      <c r="CT93" s="271">
        <f t="shared" si="296"/>
        <v>0</v>
      </c>
      <c r="CU93" s="272">
        <f t="shared" si="297"/>
        <v>2085</v>
      </c>
      <c r="CV93" s="273">
        <f t="shared" si="278"/>
        <v>0</v>
      </c>
      <c r="CW93" s="273">
        <f t="shared" si="279"/>
        <v>0</v>
      </c>
      <c r="CX93" s="273">
        <f t="shared" si="280"/>
        <v>0</v>
      </c>
      <c r="CY93" s="273">
        <f>IF(CT92=0,0,IF(CT93&gt;0,0,IF(AND(SUM(CT$7:CT92)&gt;0,SUM(CT93:CT$100)=0),CB$42,0)))</f>
        <v>0</v>
      </c>
      <c r="CZ93" s="273">
        <f>IF(CT92=0,0,IF(CT93&gt;0,0,IF(AND(SUM(CT$7:CT92)&gt;0,SUM(CT93:CT$100)=0),CB$41,0)))</f>
        <v>0</v>
      </c>
      <c r="DA93" s="273">
        <f>IF(SUM(CT$7:CT$100)=0,0,IF(SUM(CT93:CT$100)=0,CZ93-CY93,CM93-SUM(CN93:CR93)-CY93+CZ93))</f>
        <v>0</v>
      </c>
      <c r="DB93" s="274">
        <f t="shared" si="298"/>
        <v>2085</v>
      </c>
      <c r="DC93" s="275">
        <f t="shared" si="254"/>
        <v>0</v>
      </c>
      <c r="DD93" s="275">
        <f t="shared" si="255"/>
        <v>0</v>
      </c>
      <c r="DE93" s="275">
        <f t="shared" si="256"/>
        <v>0</v>
      </c>
      <c r="DF93" s="275">
        <f t="shared" si="257"/>
        <v>0</v>
      </c>
      <c r="DG93" s="360">
        <f t="shared" si="258"/>
        <v>0</v>
      </c>
      <c r="DH93" s="56"/>
      <c r="DI93" s="56"/>
      <c r="DJ93" s="233"/>
      <c r="DK93" s="233"/>
      <c r="DL93" s="37"/>
      <c r="DM93" s="37"/>
      <c r="DN93" s="37"/>
    </row>
    <row r="94" spans="1:118" ht="15">
      <c r="A94" s="206"/>
      <c r="B94" s="9"/>
      <c r="C94" s="9"/>
      <c r="D94" s="236"/>
      <c r="E94" s="236"/>
      <c r="F94" s="238">
        <f t="shared" si="203"/>
        <v>0</v>
      </c>
      <c r="G94" s="329"/>
      <c r="H94" s="239">
        <f t="shared" si="204"/>
        <v>0</v>
      </c>
      <c r="I94" s="351"/>
      <c r="J94" s="240">
        <f t="shared" si="205"/>
        <v>0</v>
      </c>
      <c r="K94" s="329"/>
      <c r="L94" s="241">
        <f t="shared" si="206"/>
        <v>0</v>
      </c>
      <c r="M94" s="326"/>
      <c r="N94" s="242">
        <f t="shared" si="207"/>
        <v>0</v>
      </c>
      <c r="O94" s="326"/>
      <c r="P94" s="243">
        <f t="shared" si="208"/>
        <v>0</v>
      </c>
      <c r="Q94" s="326"/>
      <c r="R94" s="244">
        <f t="shared" si="209"/>
        <v>0</v>
      </c>
      <c r="S94" s="325"/>
      <c r="T94" s="245">
        <f t="shared" si="210"/>
        <v>0</v>
      </c>
      <c r="U94" s="326"/>
      <c r="V94" s="246">
        <f t="shared" si="211"/>
        <v>0</v>
      </c>
      <c r="W94" s="326"/>
      <c r="X94" s="247">
        <f t="shared" si="212"/>
        <v>0</v>
      </c>
      <c r="Y94" s="248">
        <f t="shared" si="261"/>
        <v>0</v>
      </c>
      <c r="Z94" s="249">
        <f t="shared" si="262"/>
        <v>0</v>
      </c>
      <c r="AA94" s="249">
        <f t="shared" si="263"/>
        <v>0</v>
      </c>
      <c r="AB94" s="250">
        <f t="shared" si="264"/>
        <v>0</v>
      </c>
      <c r="AC94" s="250">
        <f t="shared" si="265"/>
        <v>0</v>
      </c>
      <c r="AD94" s="250">
        <f t="shared" si="299"/>
        <v>0</v>
      </c>
      <c r="AE94" s="239">
        <f t="shared" si="218"/>
        <v>0</v>
      </c>
      <c r="AF94" s="251">
        <f t="shared" si="266"/>
        <v>0</v>
      </c>
      <c r="AG94" s="251">
        <f t="shared" si="267"/>
        <v>0</v>
      </c>
      <c r="AH94" s="251">
        <f t="shared" si="281"/>
        <v>0</v>
      </c>
      <c r="AI94" s="251">
        <f t="shared" si="268"/>
        <v>0</v>
      </c>
      <c r="AJ94" s="251">
        <f t="shared" si="269"/>
        <v>0</v>
      </c>
      <c r="AK94" s="251">
        <f t="shared" si="282"/>
        <v>0</v>
      </c>
      <c r="AL94" s="245">
        <f t="shared" si="223"/>
        <v>0</v>
      </c>
      <c r="AM94" s="252">
        <f t="shared" si="283"/>
        <v>0</v>
      </c>
      <c r="AN94" s="252">
        <f t="shared" si="270"/>
        <v>0</v>
      </c>
      <c r="AO94" s="252">
        <f t="shared" si="271"/>
        <v>0</v>
      </c>
      <c r="AP94" s="252">
        <f t="shared" si="272"/>
        <v>0</v>
      </c>
      <c r="AQ94" s="252">
        <f t="shared" si="273"/>
        <v>0</v>
      </c>
      <c r="AR94" s="252">
        <f t="shared" si="284"/>
        <v>0</v>
      </c>
      <c r="AS94" s="131"/>
      <c r="AT94" s="131"/>
      <c r="AU94" s="132"/>
      <c r="AV94" s="37"/>
      <c r="AW94" s="37"/>
      <c r="AX94" s="37"/>
      <c r="AY94" s="347"/>
      <c r="AZ94" s="347"/>
      <c r="BA94" s="131"/>
      <c r="BB94" s="131"/>
      <c r="BC94" s="131"/>
      <c r="BD94" s="131"/>
      <c r="BE94" s="133"/>
      <c r="BF94" s="341"/>
      <c r="BG94" s="342"/>
      <c r="BH94" s="343"/>
      <c r="BI94" s="344"/>
      <c r="BJ94" s="345"/>
      <c r="BK94" s="346"/>
      <c r="BL94" s="135"/>
      <c r="BM94" s="341"/>
      <c r="BN94" s="342"/>
      <c r="BO94" s="343"/>
      <c r="BP94" s="344"/>
      <c r="BQ94" s="345"/>
      <c r="BR94" s="346"/>
      <c r="BS94" s="136"/>
      <c r="BT94" s="341"/>
      <c r="BU94" s="342"/>
      <c r="BV94" s="343"/>
      <c r="BW94" s="344"/>
      <c r="BX94" s="345"/>
      <c r="BY94" s="346"/>
      <c r="BZ94" s="156"/>
      <c r="CA94" s="156"/>
      <c r="CB94" s="156"/>
      <c r="CC94" s="266">
        <f t="shared" si="285"/>
        <v>2086</v>
      </c>
      <c r="CD94" s="267">
        <f t="shared" si="301"/>
        <v>0</v>
      </c>
      <c r="CE94" s="267">
        <f t="shared" si="286"/>
        <v>0</v>
      </c>
      <c r="CF94" s="267">
        <f t="shared" si="287"/>
        <v>0</v>
      </c>
      <c r="CG94" s="267">
        <f t="shared" si="300"/>
        <v>0</v>
      </c>
      <c r="CH94" s="267">
        <f t="shared" si="288"/>
        <v>0</v>
      </c>
      <c r="CI94" s="267">
        <f t="shared" si="289"/>
        <v>0</v>
      </c>
      <c r="CJ94" s="269">
        <f t="shared" si="290"/>
        <v>35.7060465413874</v>
      </c>
      <c r="CK94" s="269">
        <f t="shared" si="291"/>
        <v>4.347233909092987</v>
      </c>
      <c r="CL94" s="270">
        <f t="shared" si="292"/>
        <v>2086</v>
      </c>
      <c r="CM94" s="271">
        <f t="shared" si="274"/>
        <v>0</v>
      </c>
      <c r="CN94" s="271">
        <f t="shared" si="293"/>
        <v>0</v>
      </c>
      <c r="CO94" s="271">
        <f t="shared" si="294"/>
        <v>0</v>
      </c>
      <c r="CP94" s="271">
        <f t="shared" si="275"/>
        <v>0</v>
      </c>
      <c r="CQ94" s="271">
        <f t="shared" si="276"/>
        <v>0</v>
      </c>
      <c r="CR94" s="271">
        <f t="shared" si="277"/>
        <v>0</v>
      </c>
      <c r="CS94" s="271">
        <f t="shared" si="295"/>
        <v>0</v>
      </c>
      <c r="CT94" s="271">
        <f t="shared" si="296"/>
        <v>0</v>
      </c>
      <c r="CU94" s="272">
        <f t="shared" si="297"/>
        <v>2086</v>
      </c>
      <c r="CV94" s="273">
        <f t="shared" si="278"/>
        <v>0</v>
      </c>
      <c r="CW94" s="273">
        <f t="shared" si="279"/>
        <v>0</v>
      </c>
      <c r="CX94" s="273">
        <f t="shared" si="280"/>
        <v>0</v>
      </c>
      <c r="CY94" s="273">
        <f>IF(CT93=0,0,IF(CT94&gt;0,0,IF(AND(SUM(CT$7:CT93)&gt;0,SUM(CT94:CT$100)=0),CB$42,0)))</f>
        <v>0</v>
      </c>
      <c r="CZ94" s="273">
        <f>IF(CT93=0,0,IF(CT94&gt;0,0,IF(AND(SUM(CT$7:CT93)&gt;0,SUM(CT94:CT$100)=0),CB$41,0)))</f>
        <v>0</v>
      </c>
      <c r="DA94" s="273">
        <f>IF(SUM(CT$7:CT$100)=0,0,IF(SUM(CT94:CT$100)=0,CZ94-CY94,CM94-SUM(CN94:CR94)-CY94+CZ94))</f>
        <v>0</v>
      </c>
      <c r="DB94" s="274">
        <f t="shared" si="298"/>
        <v>2086</v>
      </c>
      <c r="DC94" s="275">
        <f t="shared" si="254"/>
        <v>0</v>
      </c>
      <c r="DD94" s="275">
        <f t="shared" si="255"/>
        <v>0</v>
      </c>
      <c r="DE94" s="275">
        <f t="shared" si="256"/>
        <v>0</v>
      </c>
      <c r="DF94" s="275">
        <f t="shared" si="257"/>
        <v>0</v>
      </c>
      <c r="DG94" s="360">
        <f t="shared" si="258"/>
        <v>0</v>
      </c>
      <c r="DH94" s="56"/>
      <c r="DI94" s="56"/>
      <c r="DJ94" s="233"/>
      <c r="DK94" s="233"/>
      <c r="DL94" s="37"/>
      <c r="DM94" s="37"/>
      <c r="DN94" s="37"/>
    </row>
    <row r="95" spans="1:118" ht="15">
      <c r="A95" s="206"/>
      <c r="B95" s="9"/>
      <c r="C95" s="9"/>
      <c r="D95" s="236"/>
      <c r="E95" s="236"/>
      <c r="F95" s="238">
        <f t="shared" si="203"/>
        <v>0</v>
      </c>
      <c r="G95" s="329"/>
      <c r="H95" s="239">
        <f t="shared" si="204"/>
        <v>0</v>
      </c>
      <c r="I95" s="351"/>
      <c r="J95" s="240">
        <f t="shared" si="205"/>
        <v>0</v>
      </c>
      <c r="K95" s="329"/>
      <c r="L95" s="241">
        <f t="shared" si="206"/>
        <v>0</v>
      </c>
      <c r="M95" s="326"/>
      <c r="N95" s="242">
        <f t="shared" si="207"/>
        <v>0</v>
      </c>
      <c r="O95" s="326"/>
      <c r="P95" s="243">
        <f t="shared" si="208"/>
        <v>0</v>
      </c>
      <c r="Q95" s="326"/>
      <c r="R95" s="244">
        <f t="shared" si="209"/>
        <v>0</v>
      </c>
      <c r="S95" s="325"/>
      <c r="T95" s="245">
        <f t="shared" si="210"/>
        <v>0</v>
      </c>
      <c r="U95" s="326"/>
      <c r="V95" s="246">
        <f t="shared" si="211"/>
        <v>0</v>
      </c>
      <c r="W95" s="326"/>
      <c r="X95" s="247">
        <f t="shared" si="212"/>
        <v>0</v>
      </c>
      <c r="Y95" s="248">
        <f t="shared" si="261"/>
        <v>0</v>
      </c>
      <c r="Z95" s="249">
        <f t="shared" si="262"/>
        <v>0</v>
      </c>
      <c r="AA95" s="249">
        <f t="shared" si="263"/>
        <v>0</v>
      </c>
      <c r="AB95" s="250">
        <f t="shared" si="264"/>
        <v>0</v>
      </c>
      <c r="AC95" s="250">
        <f t="shared" si="265"/>
        <v>0</v>
      </c>
      <c r="AD95" s="250">
        <f t="shared" si="299"/>
        <v>0</v>
      </c>
      <c r="AE95" s="239">
        <f t="shared" si="218"/>
        <v>0</v>
      </c>
      <c r="AF95" s="251">
        <f t="shared" si="266"/>
        <v>0</v>
      </c>
      <c r="AG95" s="251">
        <f t="shared" si="267"/>
        <v>0</v>
      </c>
      <c r="AH95" s="251">
        <f t="shared" si="281"/>
        <v>0</v>
      </c>
      <c r="AI95" s="251">
        <f t="shared" si="268"/>
        <v>0</v>
      </c>
      <c r="AJ95" s="251">
        <f t="shared" si="269"/>
        <v>0</v>
      </c>
      <c r="AK95" s="251">
        <f t="shared" si="282"/>
        <v>0</v>
      </c>
      <c r="AL95" s="245">
        <f t="shared" si="223"/>
        <v>0</v>
      </c>
      <c r="AM95" s="252">
        <f t="shared" si="283"/>
        <v>0</v>
      </c>
      <c r="AN95" s="252">
        <f t="shared" si="270"/>
        <v>0</v>
      </c>
      <c r="AO95" s="252">
        <f t="shared" si="271"/>
        <v>0</v>
      </c>
      <c r="AP95" s="252">
        <f t="shared" si="272"/>
        <v>0</v>
      </c>
      <c r="AQ95" s="252">
        <f t="shared" si="273"/>
        <v>0</v>
      </c>
      <c r="AR95" s="252">
        <f t="shared" si="284"/>
        <v>0</v>
      </c>
      <c r="AS95" s="131"/>
      <c r="AT95" s="131"/>
      <c r="AU95" s="132"/>
      <c r="AV95" s="37"/>
      <c r="AW95" s="37"/>
      <c r="AX95" s="37"/>
      <c r="AY95" s="194"/>
      <c r="AZ95" s="194"/>
      <c r="BA95" s="131"/>
      <c r="BB95" s="131"/>
      <c r="BC95" s="131"/>
      <c r="BD95" s="131"/>
      <c r="BE95" s="133"/>
      <c r="BF95" s="341"/>
      <c r="BG95" s="342"/>
      <c r="BH95" s="343"/>
      <c r="BI95" s="344"/>
      <c r="BJ95" s="345"/>
      <c r="BK95" s="346"/>
      <c r="BL95" s="135"/>
      <c r="BM95" s="341"/>
      <c r="BN95" s="342"/>
      <c r="BO95" s="343"/>
      <c r="BP95" s="344"/>
      <c r="BQ95" s="345"/>
      <c r="BR95" s="346"/>
      <c r="BS95" s="136"/>
      <c r="BT95" s="341"/>
      <c r="BU95" s="342"/>
      <c r="BV95" s="343"/>
      <c r="BW95" s="344"/>
      <c r="BX95" s="345"/>
      <c r="BY95" s="346"/>
      <c r="BZ95" s="156"/>
      <c r="CA95" s="156"/>
      <c r="CB95" s="156"/>
      <c r="CC95" s="266">
        <f t="shared" si="285"/>
        <v>2087</v>
      </c>
      <c r="CD95" s="267">
        <f t="shared" si="301"/>
        <v>0</v>
      </c>
      <c r="CE95" s="267">
        <f t="shared" si="286"/>
        <v>0</v>
      </c>
      <c r="CF95" s="267">
        <f t="shared" si="287"/>
        <v>0</v>
      </c>
      <c r="CG95" s="267">
        <f t="shared" si="300"/>
        <v>0</v>
      </c>
      <c r="CH95" s="267">
        <f t="shared" si="288"/>
        <v>0</v>
      </c>
      <c r="CI95" s="267">
        <f t="shared" si="289"/>
        <v>0</v>
      </c>
      <c r="CJ95" s="269">
        <f t="shared" si="290"/>
        <v>35.95598886717711</v>
      </c>
      <c r="CK95" s="269">
        <f t="shared" si="291"/>
        <v>4.373317312547544</v>
      </c>
      <c r="CL95" s="270">
        <f t="shared" si="292"/>
        <v>2087</v>
      </c>
      <c r="CM95" s="271">
        <f t="shared" si="274"/>
        <v>0</v>
      </c>
      <c r="CN95" s="271">
        <f t="shared" si="293"/>
        <v>0</v>
      </c>
      <c r="CO95" s="271">
        <f t="shared" si="294"/>
        <v>0</v>
      </c>
      <c r="CP95" s="271">
        <f t="shared" si="275"/>
        <v>0</v>
      </c>
      <c r="CQ95" s="271">
        <f t="shared" si="276"/>
        <v>0</v>
      </c>
      <c r="CR95" s="271">
        <f t="shared" si="277"/>
        <v>0</v>
      </c>
      <c r="CS95" s="271">
        <f t="shared" si="295"/>
        <v>0</v>
      </c>
      <c r="CT95" s="271">
        <f t="shared" si="296"/>
        <v>0</v>
      </c>
      <c r="CU95" s="272">
        <f t="shared" si="297"/>
        <v>2087</v>
      </c>
      <c r="CV95" s="273">
        <f t="shared" si="278"/>
        <v>0</v>
      </c>
      <c r="CW95" s="273">
        <f t="shared" si="279"/>
        <v>0</v>
      </c>
      <c r="CX95" s="273">
        <f t="shared" si="280"/>
        <v>0</v>
      </c>
      <c r="CY95" s="273">
        <f>IF(CT94=0,0,IF(CT95&gt;0,0,IF(AND(SUM(CT$7:CT94)&gt;0,SUM(CT95:CT$100)=0),CB$42,0)))</f>
        <v>0</v>
      </c>
      <c r="CZ95" s="273">
        <f>IF(CT94=0,0,IF(CT95&gt;0,0,IF(AND(SUM(CT$7:CT94)&gt;0,SUM(CT95:CT$100)=0),CB$41,0)))</f>
        <v>0</v>
      </c>
      <c r="DA95" s="273">
        <f>IF(SUM(CT$7:CT$100)=0,0,IF(SUM(CT95:CT$100)=0,CZ95-CY95,CM95-SUM(CN95:CR95)-CY95+CZ95))</f>
        <v>0</v>
      </c>
      <c r="DB95" s="274">
        <f t="shared" si="298"/>
        <v>2087</v>
      </c>
      <c r="DC95" s="275">
        <f t="shared" si="254"/>
        <v>0</v>
      </c>
      <c r="DD95" s="275">
        <f t="shared" si="255"/>
        <v>0</v>
      </c>
      <c r="DE95" s="275">
        <f t="shared" si="256"/>
        <v>0</v>
      </c>
      <c r="DF95" s="275">
        <f t="shared" si="257"/>
        <v>0</v>
      </c>
      <c r="DG95" s="360">
        <f t="shared" si="258"/>
        <v>0</v>
      </c>
      <c r="DH95" s="56"/>
      <c r="DI95" s="56"/>
      <c r="DJ95" s="233"/>
      <c r="DK95" s="233"/>
      <c r="DL95" s="37"/>
      <c r="DM95" s="37"/>
      <c r="DN95" s="37"/>
    </row>
    <row r="96" spans="1:118" ht="15">
      <c r="A96" s="206"/>
      <c r="B96" s="9"/>
      <c r="C96" s="9"/>
      <c r="D96" s="236"/>
      <c r="E96" s="236"/>
      <c r="F96" s="238">
        <f t="shared" si="203"/>
        <v>0</v>
      </c>
      <c r="G96" s="329"/>
      <c r="H96" s="239">
        <f t="shared" si="204"/>
        <v>0</v>
      </c>
      <c r="I96" s="351"/>
      <c r="J96" s="240">
        <f t="shared" si="205"/>
        <v>0</v>
      </c>
      <c r="K96" s="329"/>
      <c r="L96" s="241">
        <f t="shared" si="206"/>
        <v>0</v>
      </c>
      <c r="M96" s="326"/>
      <c r="N96" s="242">
        <f t="shared" si="207"/>
        <v>0</v>
      </c>
      <c r="O96" s="326"/>
      <c r="P96" s="243">
        <f t="shared" si="208"/>
        <v>0</v>
      </c>
      <c r="Q96" s="326"/>
      <c r="R96" s="244">
        <f t="shared" si="209"/>
        <v>0</v>
      </c>
      <c r="S96" s="325"/>
      <c r="T96" s="245">
        <f t="shared" si="210"/>
        <v>0</v>
      </c>
      <c r="U96" s="326"/>
      <c r="V96" s="246">
        <f t="shared" si="211"/>
        <v>0</v>
      </c>
      <c r="W96" s="326"/>
      <c r="X96" s="247">
        <f t="shared" si="212"/>
        <v>0</v>
      </c>
      <c r="Y96" s="248">
        <f t="shared" si="261"/>
        <v>0</v>
      </c>
      <c r="Z96" s="249">
        <f t="shared" si="262"/>
        <v>0</v>
      </c>
      <c r="AA96" s="249">
        <f t="shared" si="263"/>
        <v>0</v>
      </c>
      <c r="AB96" s="250">
        <f t="shared" si="264"/>
        <v>0</v>
      </c>
      <c r="AC96" s="250">
        <f t="shared" si="265"/>
        <v>0</v>
      </c>
      <c r="AD96" s="250">
        <f t="shared" si="299"/>
        <v>0</v>
      </c>
      <c r="AE96" s="239">
        <f t="shared" si="218"/>
        <v>0</v>
      </c>
      <c r="AF96" s="251">
        <f t="shared" si="266"/>
        <v>0</v>
      </c>
      <c r="AG96" s="251">
        <f t="shared" si="267"/>
        <v>0</v>
      </c>
      <c r="AH96" s="251">
        <f t="shared" si="281"/>
        <v>0</v>
      </c>
      <c r="AI96" s="251">
        <f t="shared" si="268"/>
        <v>0</v>
      </c>
      <c r="AJ96" s="251">
        <f t="shared" si="269"/>
        <v>0</v>
      </c>
      <c r="AK96" s="251">
        <f t="shared" si="282"/>
        <v>0</v>
      </c>
      <c r="AL96" s="245">
        <f t="shared" si="223"/>
        <v>0</v>
      </c>
      <c r="AM96" s="252">
        <f t="shared" si="283"/>
        <v>0</v>
      </c>
      <c r="AN96" s="252">
        <f t="shared" si="270"/>
        <v>0</v>
      </c>
      <c r="AO96" s="252">
        <f t="shared" si="271"/>
        <v>0</v>
      </c>
      <c r="AP96" s="252">
        <f t="shared" si="272"/>
        <v>0</v>
      </c>
      <c r="AQ96" s="252">
        <f t="shared" si="273"/>
        <v>0</v>
      </c>
      <c r="AR96" s="252">
        <f t="shared" si="284"/>
        <v>0</v>
      </c>
      <c r="AS96" s="131"/>
      <c r="AT96" s="131"/>
      <c r="AU96" s="132"/>
      <c r="AV96" s="37"/>
      <c r="AW96" s="37"/>
      <c r="AX96" s="37"/>
      <c r="AY96" s="347"/>
      <c r="AZ96" s="347"/>
      <c r="BA96" s="131"/>
      <c r="BB96" s="131"/>
      <c r="BC96" s="131"/>
      <c r="BD96" s="131"/>
      <c r="BE96" s="133"/>
      <c r="BF96" s="341"/>
      <c r="BG96" s="342"/>
      <c r="BH96" s="343"/>
      <c r="BI96" s="344"/>
      <c r="BJ96" s="345"/>
      <c r="BK96" s="346"/>
      <c r="BL96" s="135"/>
      <c r="BM96" s="341"/>
      <c r="BN96" s="342"/>
      <c r="BO96" s="343"/>
      <c r="BP96" s="344"/>
      <c r="BQ96" s="345"/>
      <c r="BR96" s="346"/>
      <c r="BS96" s="136"/>
      <c r="BT96" s="341"/>
      <c r="BU96" s="342"/>
      <c r="BV96" s="343"/>
      <c r="BW96" s="344"/>
      <c r="BX96" s="345"/>
      <c r="BY96" s="346"/>
      <c r="BZ96" s="156"/>
      <c r="CA96" s="156"/>
      <c r="CB96" s="156"/>
      <c r="CC96" s="266">
        <f t="shared" si="285"/>
        <v>2088</v>
      </c>
      <c r="CD96" s="267">
        <f t="shared" si="301"/>
        <v>0</v>
      </c>
      <c r="CE96" s="267">
        <f t="shared" si="286"/>
        <v>0</v>
      </c>
      <c r="CF96" s="267">
        <f t="shared" si="287"/>
        <v>0</v>
      </c>
      <c r="CG96" s="267">
        <f t="shared" si="300"/>
        <v>0</v>
      </c>
      <c r="CH96" s="267">
        <f t="shared" si="288"/>
        <v>0</v>
      </c>
      <c r="CI96" s="267">
        <f t="shared" si="289"/>
        <v>0</v>
      </c>
      <c r="CJ96" s="269">
        <f t="shared" si="290"/>
        <v>36.20768078924735</v>
      </c>
      <c r="CK96" s="269">
        <f t="shared" si="291"/>
        <v>4.39955721642283</v>
      </c>
      <c r="CL96" s="270">
        <f t="shared" si="292"/>
        <v>2088</v>
      </c>
      <c r="CM96" s="271">
        <f t="shared" si="274"/>
        <v>0</v>
      </c>
      <c r="CN96" s="271">
        <f t="shared" si="293"/>
        <v>0</v>
      </c>
      <c r="CO96" s="271">
        <f t="shared" si="294"/>
        <v>0</v>
      </c>
      <c r="CP96" s="271">
        <f t="shared" si="275"/>
        <v>0</v>
      </c>
      <c r="CQ96" s="271">
        <f t="shared" si="276"/>
        <v>0</v>
      </c>
      <c r="CR96" s="271">
        <f t="shared" si="277"/>
        <v>0</v>
      </c>
      <c r="CS96" s="271">
        <f t="shared" si="295"/>
        <v>0</v>
      </c>
      <c r="CT96" s="271">
        <f t="shared" si="296"/>
        <v>0</v>
      </c>
      <c r="CU96" s="272">
        <f t="shared" si="297"/>
        <v>2088</v>
      </c>
      <c r="CV96" s="273">
        <f t="shared" si="278"/>
        <v>0</v>
      </c>
      <c r="CW96" s="273">
        <f t="shared" si="279"/>
        <v>0</v>
      </c>
      <c r="CX96" s="273">
        <f t="shared" si="280"/>
        <v>0</v>
      </c>
      <c r="CY96" s="273">
        <f>IF(CT95=0,0,IF(CT96&gt;0,0,IF(AND(SUM(CT$7:CT95)&gt;0,SUM(CT96:CT$100)=0),CB$42,0)))</f>
        <v>0</v>
      </c>
      <c r="CZ96" s="273">
        <f>IF(CT95=0,0,IF(CT96&gt;0,0,IF(AND(SUM(CT$7:CT95)&gt;0,SUM(CT96:CT$100)=0),CB$41,0)))</f>
        <v>0</v>
      </c>
      <c r="DA96" s="273">
        <f>IF(SUM(CT$7:CT$100)=0,0,IF(SUM(CT96:CT$100)=0,CZ96-CY96,CM96-SUM(CN96:CR96)-CY96+CZ96))</f>
        <v>0</v>
      </c>
      <c r="DB96" s="274">
        <f t="shared" si="298"/>
        <v>2088</v>
      </c>
      <c r="DC96" s="275">
        <f t="shared" si="254"/>
        <v>0</v>
      </c>
      <c r="DD96" s="275">
        <f t="shared" si="255"/>
        <v>0</v>
      </c>
      <c r="DE96" s="275">
        <f t="shared" si="256"/>
        <v>0</v>
      </c>
      <c r="DF96" s="275">
        <f t="shared" si="257"/>
        <v>0</v>
      </c>
      <c r="DG96" s="360">
        <f t="shared" si="258"/>
        <v>0</v>
      </c>
      <c r="DH96" s="56"/>
      <c r="DI96" s="56"/>
      <c r="DJ96" s="233"/>
      <c r="DK96" s="233"/>
      <c r="DL96" s="37"/>
      <c r="DM96" s="37"/>
      <c r="DN96" s="37"/>
    </row>
    <row r="97" spans="1:118" ht="15">
      <c r="A97" s="206"/>
      <c r="B97" s="9"/>
      <c r="C97" s="9"/>
      <c r="D97" s="236"/>
      <c r="E97" s="236"/>
      <c r="F97" s="238">
        <f t="shared" si="203"/>
        <v>0</v>
      </c>
      <c r="G97" s="329"/>
      <c r="H97" s="239">
        <f t="shared" si="204"/>
        <v>0</v>
      </c>
      <c r="I97" s="351"/>
      <c r="J97" s="240">
        <f t="shared" si="205"/>
        <v>0</v>
      </c>
      <c r="K97" s="329"/>
      <c r="L97" s="241">
        <f t="shared" si="206"/>
        <v>0</v>
      </c>
      <c r="M97" s="326"/>
      <c r="N97" s="242">
        <f t="shared" si="207"/>
        <v>0</v>
      </c>
      <c r="O97" s="326"/>
      <c r="P97" s="243">
        <f t="shared" si="208"/>
        <v>0</v>
      </c>
      <c r="Q97" s="326"/>
      <c r="R97" s="244">
        <f t="shared" si="209"/>
        <v>0</v>
      </c>
      <c r="S97" s="325"/>
      <c r="T97" s="245">
        <f t="shared" si="210"/>
        <v>0</v>
      </c>
      <c r="U97" s="326"/>
      <c r="V97" s="246">
        <f t="shared" si="211"/>
        <v>0</v>
      </c>
      <c r="W97" s="326"/>
      <c r="X97" s="247">
        <f t="shared" si="212"/>
        <v>0</v>
      </c>
      <c r="Y97" s="248">
        <f t="shared" si="261"/>
        <v>0</v>
      </c>
      <c r="Z97" s="249">
        <f t="shared" si="262"/>
        <v>0</v>
      </c>
      <c r="AA97" s="249">
        <f t="shared" si="263"/>
        <v>0</v>
      </c>
      <c r="AB97" s="250">
        <f t="shared" si="264"/>
        <v>0</v>
      </c>
      <c r="AC97" s="250">
        <f t="shared" si="265"/>
        <v>0</v>
      </c>
      <c r="AD97" s="250">
        <f t="shared" si="299"/>
        <v>0</v>
      </c>
      <c r="AE97" s="239">
        <f t="shared" si="218"/>
        <v>0</v>
      </c>
      <c r="AF97" s="251">
        <f t="shared" si="266"/>
        <v>0</v>
      </c>
      <c r="AG97" s="251">
        <f t="shared" si="267"/>
        <v>0</v>
      </c>
      <c r="AH97" s="251">
        <f t="shared" si="281"/>
        <v>0</v>
      </c>
      <c r="AI97" s="251">
        <f t="shared" si="268"/>
        <v>0</v>
      </c>
      <c r="AJ97" s="251">
        <f t="shared" si="269"/>
        <v>0</v>
      </c>
      <c r="AK97" s="251">
        <f t="shared" si="282"/>
        <v>0</v>
      </c>
      <c r="AL97" s="245">
        <f t="shared" si="223"/>
        <v>0</v>
      </c>
      <c r="AM97" s="252">
        <f t="shared" si="283"/>
        <v>0</v>
      </c>
      <c r="AN97" s="252">
        <f t="shared" si="270"/>
        <v>0</v>
      </c>
      <c r="AO97" s="252">
        <f t="shared" si="271"/>
        <v>0</v>
      </c>
      <c r="AP97" s="252">
        <f t="shared" si="272"/>
        <v>0</v>
      </c>
      <c r="AQ97" s="252">
        <f t="shared" si="273"/>
        <v>0</v>
      </c>
      <c r="AR97" s="252">
        <f t="shared" si="284"/>
        <v>0</v>
      </c>
      <c r="AS97" s="131"/>
      <c r="AT97" s="131"/>
      <c r="AU97" s="132"/>
      <c r="AV97" s="37"/>
      <c r="AW97" s="37"/>
      <c r="AX97" s="37"/>
      <c r="AY97" s="347"/>
      <c r="AZ97" s="347"/>
      <c r="BA97" s="131"/>
      <c r="BB97" s="131"/>
      <c r="BC97" s="131"/>
      <c r="BD97" s="131"/>
      <c r="BE97" s="133"/>
      <c r="BF97" s="341"/>
      <c r="BG97" s="342"/>
      <c r="BH97" s="343"/>
      <c r="BI97" s="344"/>
      <c r="BJ97" s="345"/>
      <c r="BK97" s="346"/>
      <c r="BL97" s="135"/>
      <c r="BM97" s="341"/>
      <c r="BN97" s="342"/>
      <c r="BO97" s="343"/>
      <c r="BP97" s="344"/>
      <c r="BQ97" s="345"/>
      <c r="BR97" s="346"/>
      <c r="BS97" s="136"/>
      <c r="BT97" s="341"/>
      <c r="BU97" s="342"/>
      <c r="BV97" s="343"/>
      <c r="BW97" s="344"/>
      <c r="BX97" s="345"/>
      <c r="BY97" s="346"/>
      <c r="BZ97" s="156"/>
      <c r="CA97" s="156"/>
      <c r="CB97" s="156"/>
      <c r="CC97" s="266">
        <f t="shared" si="285"/>
        <v>2089</v>
      </c>
      <c r="CD97" s="267">
        <f t="shared" si="301"/>
        <v>0</v>
      </c>
      <c r="CE97" s="267">
        <f t="shared" si="286"/>
        <v>0</v>
      </c>
      <c r="CF97" s="267">
        <f t="shared" si="287"/>
        <v>0</v>
      </c>
      <c r="CG97" s="267">
        <f t="shared" si="300"/>
        <v>0</v>
      </c>
      <c r="CH97" s="267">
        <f t="shared" si="288"/>
        <v>0</v>
      </c>
      <c r="CI97" s="267">
        <f t="shared" si="289"/>
        <v>0</v>
      </c>
      <c r="CJ97" s="269">
        <f t="shared" si="290"/>
        <v>36.46113455477207</v>
      </c>
      <c r="CK97" s="269">
        <f t="shared" si="291"/>
        <v>4.425954559721367</v>
      </c>
      <c r="CL97" s="270">
        <f t="shared" si="292"/>
        <v>2089</v>
      </c>
      <c r="CM97" s="271">
        <f t="shared" si="274"/>
        <v>0</v>
      </c>
      <c r="CN97" s="271">
        <f t="shared" si="293"/>
        <v>0</v>
      </c>
      <c r="CO97" s="271">
        <f t="shared" si="294"/>
        <v>0</v>
      </c>
      <c r="CP97" s="271">
        <f t="shared" si="275"/>
        <v>0</v>
      </c>
      <c r="CQ97" s="271">
        <f t="shared" si="276"/>
        <v>0</v>
      </c>
      <c r="CR97" s="271">
        <f t="shared" si="277"/>
        <v>0</v>
      </c>
      <c r="CS97" s="271">
        <f t="shared" si="295"/>
        <v>0</v>
      </c>
      <c r="CT97" s="271">
        <f t="shared" si="296"/>
        <v>0</v>
      </c>
      <c r="CU97" s="272">
        <f t="shared" si="297"/>
        <v>2089</v>
      </c>
      <c r="CV97" s="273">
        <f t="shared" si="278"/>
        <v>0</v>
      </c>
      <c r="CW97" s="273">
        <f t="shared" si="279"/>
        <v>0</v>
      </c>
      <c r="CX97" s="273">
        <f t="shared" si="280"/>
        <v>0</v>
      </c>
      <c r="CY97" s="273">
        <f>IF(CT96=0,0,IF(CT97&gt;0,0,IF(AND(SUM(CT$7:CT96)&gt;0,SUM(CT97:CT$100)=0),CB$42,0)))</f>
        <v>0</v>
      </c>
      <c r="CZ97" s="273">
        <f>IF(CT96=0,0,IF(CT97&gt;0,0,IF(AND(SUM(CT$7:CT96)&gt;0,SUM(CT97:CT$100)=0),CB$41,0)))</f>
        <v>0</v>
      </c>
      <c r="DA97" s="273">
        <f>IF(SUM(CT$7:CT$100)=0,0,IF(SUM(CT97:CT$100)=0,CZ97-CY97,CM97-SUM(CN97:CR97)-CY97+CZ97))</f>
        <v>0</v>
      </c>
      <c r="DB97" s="274">
        <f t="shared" si="298"/>
        <v>2089</v>
      </c>
      <c r="DC97" s="275">
        <f t="shared" si="254"/>
        <v>0</v>
      </c>
      <c r="DD97" s="275">
        <f t="shared" si="255"/>
        <v>0</v>
      </c>
      <c r="DE97" s="275">
        <f t="shared" si="256"/>
        <v>0</v>
      </c>
      <c r="DF97" s="275">
        <f t="shared" si="257"/>
        <v>0</v>
      </c>
      <c r="DG97" s="360">
        <f t="shared" si="258"/>
        <v>0</v>
      </c>
      <c r="DH97" s="56"/>
      <c r="DI97" s="56"/>
      <c r="DJ97" s="233"/>
      <c r="DK97" s="233"/>
      <c r="DL97" s="37"/>
      <c r="DM97" s="37"/>
      <c r="DN97" s="37"/>
    </row>
    <row r="98" spans="1:118" ht="15">
      <c r="A98" s="206"/>
      <c r="B98" s="9"/>
      <c r="C98" s="9"/>
      <c r="D98" s="236"/>
      <c r="E98" s="236"/>
      <c r="F98" s="238">
        <f t="shared" si="203"/>
        <v>0</v>
      </c>
      <c r="G98" s="329"/>
      <c r="H98" s="239">
        <f t="shared" si="204"/>
        <v>0</v>
      </c>
      <c r="I98" s="351"/>
      <c r="J98" s="240">
        <f t="shared" si="205"/>
        <v>0</v>
      </c>
      <c r="K98" s="329"/>
      <c r="L98" s="241">
        <f t="shared" si="206"/>
        <v>0</v>
      </c>
      <c r="M98" s="326"/>
      <c r="N98" s="242">
        <f t="shared" si="207"/>
        <v>0</v>
      </c>
      <c r="O98" s="326"/>
      <c r="P98" s="243">
        <f t="shared" si="208"/>
        <v>0</v>
      </c>
      <c r="Q98" s="326"/>
      <c r="R98" s="244">
        <f t="shared" si="209"/>
        <v>0</v>
      </c>
      <c r="S98" s="325"/>
      <c r="T98" s="245">
        <f t="shared" si="210"/>
        <v>0</v>
      </c>
      <c r="U98" s="326"/>
      <c r="V98" s="246">
        <f t="shared" si="211"/>
        <v>0</v>
      </c>
      <c r="W98" s="326"/>
      <c r="X98" s="247">
        <f t="shared" si="212"/>
        <v>0</v>
      </c>
      <c r="Y98" s="248">
        <f t="shared" si="261"/>
        <v>0</v>
      </c>
      <c r="Z98" s="249">
        <f t="shared" si="262"/>
        <v>0</v>
      </c>
      <c r="AA98" s="249">
        <f t="shared" si="263"/>
        <v>0</v>
      </c>
      <c r="AB98" s="250">
        <f t="shared" si="264"/>
        <v>0</v>
      </c>
      <c r="AC98" s="250">
        <f t="shared" si="265"/>
        <v>0</v>
      </c>
      <c r="AD98" s="250">
        <f t="shared" si="299"/>
        <v>0</v>
      </c>
      <c r="AE98" s="239">
        <f t="shared" si="218"/>
        <v>0</v>
      </c>
      <c r="AF98" s="251">
        <f t="shared" si="266"/>
        <v>0</v>
      </c>
      <c r="AG98" s="251">
        <f t="shared" si="267"/>
        <v>0</v>
      </c>
      <c r="AH98" s="251">
        <f t="shared" si="281"/>
        <v>0</v>
      </c>
      <c r="AI98" s="251">
        <f t="shared" si="268"/>
        <v>0</v>
      </c>
      <c r="AJ98" s="251">
        <f t="shared" si="269"/>
        <v>0</v>
      </c>
      <c r="AK98" s="251">
        <f t="shared" si="282"/>
        <v>0</v>
      </c>
      <c r="AL98" s="245">
        <f t="shared" si="223"/>
        <v>0</v>
      </c>
      <c r="AM98" s="252">
        <f t="shared" si="283"/>
        <v>0</v>
      </c>
      <c r="AN98" s="252">
        <f t="shared" si="270"/>
        <v>0</v>
      </c>
      <c r="AO98" s="252">
        <f t="shared" si="271"/>
        <v>0</v>
      </c>
      <c r="AP98" s="252">
        <f t="shared" si="272"/>
        <v>0</v>
      </c>
      <c r="AQ98" s="252">
        <f t="shared" si="273"/>
        <v>0</v>
      </c>
      <c r="AR98" s="252">
        <f t="shared" si="284"/>
        <v>0</v>
      </c>
      <c r="AS98" s="131"/>
      <c r="AT98" s="131"/>
      <c r="AU98" s="132"/>
      <c r="AV98" s="37"/>
      <c r="AW98" s="37"/>
      <c r="AX98" s="37"/>
      <c r="AY98" s="347"/>
      <c r="AZ98" s="347"/>
      <c r="BA98" s="131"/>
      <c r="BB98" s="131"/>
      <c r="BC98" s="131"/>
      <c r="BD98" s="131"/>
      <c r="BE98" s="133"/>
      <c r="BF98" s="341"/>
      <c r="BG98" s="342"/>
      <c r="BH98" s="343"/>
      <c r="BI98" s="344"/>
      <c r="BJ98" s="345"/>
      <c r="BK98" s="346"/>
      <c r="BL98" s="135"/>
      <c r="BM98" s="341"/>
      <c r="BN98" s="342"/>
      <c r="BO98" s="343"/>
      <c r="BP98" s="344"/>
      <c r="BQ98" s="345"/>
      <c r="BR98" s="346"/>
      <c r="BS98" s="136"/>
      <c r="BT98" s="341"/>
      <c r="BU98" s="342"/>
      <c r="BV98" s="343"/>
      <c r="BW98" s="344"/>
      <c r="BX98" s="345"/>
      <c r="BY98" s="346"/>
      <c r="BZ98" s="156"/>
      <c r="CA98" s="156"/>
      <c r="CB98" s="156"/>
      <c r="CC98" s="266">
        <f t="shared" si="285"/>
        <v>2090</v>
      </c>
      <c r="CD98" s="267">
        <f t="shared" si="301"/>
        <v>0</v>
      </c>
      <c r="CE98" s="267">
        <f t="shared" si="286"/>
        <v>0</v>
      </c>
      <c r="CF98" s="267">
        <f t="shared" si="287"/>
        <v>0</v>
      </c>
      <c r="CG98" s="267">
        <f t="shared" si="300"/>
        <v>0</v>
      </c>
      <c r="CH98" s="267">
        <f t="shared" si="288"/>
        <v>0</v>
      </c>
      <c r="CI98" s="267">
        <f t="shared" si="289"/>
        <v>0</v>
      </c>
      <c r="CJ98" s="269">
        <f t="shared" si="290"/>
        <v>36.71636249665547</v>
      </c>
      <c r="CK98" s="269">
        <f t="shared" si="291"/>
        <v>4.452510287079695</v>
      </c>
      <c r="CL98" s="270">
        <f t="shared" si="292"/>
        <v>2090</v>
      </c>
      <c r="CM98" s="271">
        <f t="shared" si="274"/>
        <v>0</v>
      </c>
      <c r="CN98" s="271">
        <f t="shared" si="293"/>
        <v>0</v>
      </c>
      <c r="CO98" s="271">
        <f t="shared" si="294"/>
        <v>0</v>
      </c>
      <c r="CP98" s="271">
        <f t="shared" si="275"/>
        <v>0</v>
      </c>
      <c r="CQ98" s="271">
        <f t="shared" si="276"/>
        <v>0</v>
      </c>
      <c r="CR98" s="271">
        <f t="shared" si="277"/>
        <v>0</v>
      </c>
      <c r="CS98" s="271">
        <f t="shared" si="295"/>
        <v>0</v>
      </c>
      <c r="CT98" s="271">
        <f t="shared" si="296"/>
        <v>0</v>
      </c>
      <c r="CU98" s="272">
        <f t="shared" si="297"/>
        <v>2090</v>
      </c>
      <c r="CV98" s="273">
        <f t="shared" si="278"/>
        <v>0</v>
      </c>
      <c r="CW98" s="273">
        <f t="shared" si="279"/>
        <v>0</v>
      </c>
      <c r="CX98" s="273">
        <f t="shared" si="280"/>
        <v>0</v>
      </c>
      <c r="CY98" s="273">
        <f>IF(CT97=0,0,IF(CT98&gt;0,0,IF(AND(SUM(CT$7:CT97)&gt;0,SUM(CT98:CT$100)=0),CB$42,0)))</f>
        <v>0</v>
      </c>
      <c r="CZ98" s="273">
        <f>IF(CT97=0,0,IF(CT98&gt;0,0,IF(AND(SUM(CT$7:CT97)&gt;0,SUM(CT98:CT$100)=0),CB$41,0)))</f>
        <v>0</v>
      </c>
      <c r="DA98" s="273">
        <f>IF(SUM(CT$7:CT$100)=0,0,IF(SUM(CT98:CT$100)=0,CZ98-CY98,CM98-SUM(CN98:CR98)-CY98+CZ98))</f>
        <v>0</v>
      </c>
      <c r="DB98" s="274">
        <f t="shared" si="298"/>
        <v>2090</v>
      </c>
      <c r="DC98" s="275">
        <f t="shared" si="254"/>
        <v>0</v>
      </c>
      <c r="DD98" s="275">
        <f t="shared" si="255"/>
        <v>0</v>
      </c>
      <c r="DE98" s="275">
        <f t="shared" si="256"/>
        <v>0</v>
      </c>
      <c r="DF98" s="275">
        <f t="shared" si="257"/>
        <v>0</v>
      </c>
      <c r="DG98" s="360">
        <f t="shared" si="258"/>
        <v>0</v>
      </c>
      <c r="DH98" s="56"/>
      <c r="DI98" s="56"/>
      <c r="DJ98" s="233"/>
      <c r="DK98" s="233"/>
      <c r="DL98" s="37"/>
      <c r="DM98" s="37"/>
      <c r="DN98" s="37"/>
    </row>
    <row r="99" spans="1:118" ht="15">
      <c r="A99" s="206"/>
      <c r="B99" s="9"/>
      <c r="C99" s="9"/>
      <c r="D99" s="236"/>
      <c r="E99" s="236"/>
      <c r="F99" s="238">
        <f t="shared" si="203"/>
        <v>0</v>
      </c>
      <c r="G99" s="329"/>
      <c r="H99" s="239">
        <f t="shared" si="204"/>
        <v>0</v>
      </c>
      <c r="I99" s="351"/>
      <c r="J99" s="240">
        <f t="shared" si="205"/>
        <v>0</v>
      </c>
      <c r="K99" s="329"/>
      <c r="L99" s="241">
        <f t="shared" si="206"/>
        <v>0</v>
      </c>
      <c r="M99" s="326"/>
      <c r="N99" s="242">
        <f t="shared" si="207"/>
        <v>0</v>
      </c>
      <c r="O99" s="326"/>
      <c r="P99" s="243">
        <f t="shared" si="208"/>
        <v>0</v>
      </c>
      <c r="Q99" s="326"/>
      <c r="R99" s="244">
        <f t="shared" si="209"/>
        <v>0</v>
      </c>
      <c r="S99" s="325"/>
      <c r="T99" s="245">
        <f t="shared" si="210"/>
        <v>0</v>
      </c>
      <c r="U99" s="326"/>
      <c r="V99" s="246">
        <f t="shared" si="211"/>
        <v>0</v>
      </c>
      <c r="W99" s="326"/>
      <c r="X99" s="247">
        <f t="shared" si="212"/>
        <v>0</v>
      </c>
      <c r="Y99" s="248">
        <f t="shared" si="261"/>
        <v>0</v>
      </c>
      <c r="Z99" s="249">
        <f t="shared" si="262"/>
        <v>0</v>
      </c>
      <c r="AA99" s="249">
        <f t="shared" si="263"/>
        <v>0</v>
      </c>
      <c r="AB99" s="250">
        <f t="shared" si="264"/>
        <v>0</v>
      </c>
      <c r="AC99" s="250">
        <f t="shared" si="265"/>
        <v>0</v>
      </c>
      <c r="AD99" s="250">
        <f t="shared" si="299"/>
        <v>0</v>
      </c>
      <c r="AE99" s="239">
        <f t="shared" si="218"/>
        <v>0</v>
      </c>
      <c r="AF99" s="251">
        <f t="shared" si="266"/>
        <v>0</v>
      </c>
      <c r="AG99" s="251">
        <f t="shared" si="267"/>
        <v>0</v>
      </c>
      <c r="AH99" s="251">
        <f t="shared" si="281"/>
        <v>0</v>
      </c>
      <c r="AI99" s="251">
        <f t="shared" si="268"/>
        <v>0</v>
      </c>
      <c r="AJ99" s="251">
        <f t="shared" si="269"/>
        <v>0</v>
      </c>
      <c r="AK99" s="251">
        <f t="shared" si="282"/>
        <v>0</v>
      </c>
      <c r="AL99" s="245">
        <f t="shared" si="223"/>
        <v>0</v>
      </c>
      <c r="AM99" s="252">
        <f t="shared" si="283"/>
        <v>0</v>
      </c>
      <c r="AN99" s="252">
        <f t="shared" si="270"/>
        <v>0</v>
      </c>
      <c r="AO99" s="252">
        <f t="shared" si="271"/>
        <v>0</v>
      </c>
      <c r="AP99" s="252">
        <f t="shared" si="272"/>
        <v>0</v>
      </c>
      <c r="AQ99" s="252">
        <f t="shared" si="273"/>
        <v>0</v>
      </c>
      <c r="AR99" s="252">
        <f t="shared" si="284"/>
        <v>0</v>
      </c>
      <c r="AS99" s="131"/>
      <c r="AT99" s="131"/>
      <c r="AU99" s="132"/>
      <c r="AV99" s="37"/>
      <c r="AW99" s="37"/>
      <c r="AX99" s="37"/>
      <c r="AY99" s="347"/>
      <c r="AZ99" s="347"/>
      <c r="BA99" s="131"/>
      <c r="BB99" s="131"/>
      <c r="BC99" s="131"/>
      <c r="BD99" s="131"/>
      <c r="BE99" s="133"/>
      <c r="BF99" s="341"/>
      <c r="BG99" s="342"/>
      <c r="BH99" s="343"/>
      <c r="BI99" s="344"/>
      <c r="BJ99" s="345"/>
      <c r="BK99" s="346"/>
      <c r="BL99" s="135"/>
      <c r="BM99" s="341"/>
      <c r="BN99" s="342"/>
      <c r="BO99" s="343"/>
      <c r="BP99" s="344"/>
      <c r="BQ99" s="345"/>
      <c r="BR99" s="346"/>
      <c r="BS99" s="136"/>
      <c r="BT99" s="341"/>
      <c r="BU99" s="342"/>
      <c r="BV99" s="343"/>
      <c r="BW99" s="344"/>
      <c r="BX99" s="345"/>
      <c r="BY99" s="346"/>
      <c r="BZ99" s="156"/>
      <c r="CA99" s="156"/>
      <c r="CB99" s="156"/>
      <c r="CC99" s="266">
        <f t="shared" si="285"/>
        <v>2091</v>
      </c>
      <c r="CD99" s="267">
        <f t="shared" si="301"/>
        <v>0</v>
      </c>
      <c r="CE99" s="267">
        <f t="shared" si="286"/>
        <v>0</v>
      </c>
      <c r="CF99" s="267">
        <f t="shared" si="287"/>
        <v>0</v>
      </c>
      <c r="CG99" s="267">
        <f t="shared" si="300"/>
        <v>0</v>
      </c>
      <c r="CH99" s="267">
        <f t="shared" si="288"/>
        <v>0</v>
      </c>
      <c r="CI99" s="267">
        <f t="shared" si="289"/>
        <v>0</v>
      </c>
      <c r="CJ99" s="269">
        <f t="shared" si="290"/>
        <v>36.97337703413206</v>
      </c>
      <c r="CK99" s="269">
        <f t="shared" si="291"/>
        <v>4.479225348802173</v>
      </c>
      <c r="CL99" s="270">
        <f t="shared" si="292"/>
        <v>2091</v>
      </c>
      <c r="CM99" s="271">
        <f t="shared" si="274"/>
        <v>0</v>
      </c>
      <c r="CN99" s="271">
        <f t="shared" si="293"/>
        <v>0</v>
      </c>
      <c r="CO99" s="271">
        <f t="shared" si="294"/>
        <v>0</v>
      </c>
      <c r="CP99" s="271">
        <f t="shared" si="275"/>
        <v>0</v>
      </c>
      <c r="CQ99" s="271">
        <f t="shared" si="276"/>
        <v>0</v>
      </c>
      <c r="CR99" s="271">
        <f t="shared" si="277"/>
        <v>0</v>
      </c>
      <c r="CS99" s="271">
        <f t="shared" si="295"/>
        <v>0</v>
      </c>
      <c r="CT99" s="271">
        <f t="shared" si="296"/>
        <v>0</v>
      </c>
      <c r="CU99" s="272">
        <f t="shared" si="297"/>
        <v>2091</v>
      </c>
      <c r="CV99" s="273">
        <f t="shared" si="278"/>
        <v>0</v>
      </c>
      <c r="CW99" s="273">
        <f t="shared" si="279"/>
        <v>0</v>
      </c>
      <c r="CX99" s="273">
        <f t="shared" si="280"/>
        <v>0</v>
      </c>
      <c r="CY99" s="273">
        <f>IF(CT98=0,0,IF(CT99&gt;0,0,IF(AND(SUM(CT$7:CT98)&gt;0,SUM(CT99:CT$100)=0),CB$42,0)))</f>
        <v>0</v>
      </c>
      <c r="CZ99" s="273">
        <f>IF(CT98=0,0,IF(CT99&gt;0,0,IF(AND(SUM(CT$7:CT98)&gt;0,SUM(CT99:CT$100)=0),CB$41,0)))</f>
        <v>0</v>
      </c>
      <c r="DA99" s="273">
        <f>IF(SUM(CT$7:CT$100)=0,0,IF(SUM(CT99:CT$100)=0,CZ99-CY99,CM99-SUM(CN99:CR99)-CY99+CZ99))</f>
        <v>0</v>
      </c>
      <c r="DB99" s="274">
        <f t="shared" si="298"/>
        <v>2091</v>
      </c>
      <c r="DC99" s="275">
        <f t="shared" si="254"/>
        <v>0</v>
      </c>
      <c r="DD99" s="275">
        <f t="shared" si="255"/>
        <v>0</v>
      </c>
      <c r="DE99" s="275">
        <f t="shared" si="256"/>
        <v>0</v>
      </c>
      <c r="DF99" s="275">
        <f t="shared" si="257"/>
        <v>0</v>
      </c>
      <c r="DG99" s="360">
        <f t="shared" si="258"/>
        <v>0</v>
      </c>
      <c r="DH99" s="56"/>
      <c r="DI99" s="56"/>
      <c r="DJ99" s="233"/>
      <c r="DK99" s="233"/>
      <c r="DL99" s="37"/>
      <c r="DM99" s="37"/>
      <c r="DN99" s="37"/>
    </row>
    <row r="100" spans="1:118" ht="15">
      <c r="A100" s="206"/>
      <c r="B100" s="9"/>
      <c r="C100" s="9"/>
      <c r="D100" s="236"/>
      <c r="E100" s="236"/>
      <c r="F100" s="238">
        <f t="shared" si="203"/>
        <v>0</v>
      </c>
      <c r="G100" s="329"/>
      <c r="H100" s="239">
        <f t="shared" si="204"/>
        <v>0</v>
      </c>
      <c r="I100" s="351"/>
      <c r="J100" s="240">
        <f t="shared" si="205"/>
        <v>0</v>
      </c>
      <c r="K100" s="329"/>
      <c r="L100" s="241">
        <f t="shared" si="206"/>
        <v>0</v>
      </c>
      <c r="M100" s="326"/>
      <c r="N100" s="242">
        <f t="shared" si="207"/>
        <v>0</v>
      </c>
      <c r="O100" s="326"/>
      <c r="P100" s="243">
        <f t="shared" si="208"/>
        <v>0</v>
      </c>
      <c r="Q100" s="326"/>
      <c r="R100" s="244">
        <f t="shared" si="209"/>
        <v>0</v>
      </c>
      <c r="S100" s="325"/>
      <c r="T100" s="245">
        <f t="shared" si="210"/>
        <v>0</v>
      </c>
      <c r="U100" s="326"/>
      <c r="V100" s="246">
        <f t="shared" si="211"/>
        <v>0</v>
      </c>
      <c r="W100" s="326"/>
      <c r="X100" s="247">
        <f t="shared" si="212"/>
        <v>0</v>
      </c>
      <c r="Y100" s="248">
        <f t="shared" si="261"/>
        <v>0</v>
      </c>
      <c r="Z100" s="249">
        <f t="shared" si="262"/>
        <v>0</v>
      </c>
      <c r="AA100" s="249">
        <f t="shared" si="263"/>
        <v>0</v>
      </c>
      <c r="AB100" s="250">
        <f t="shared" si="264"/>
        <v>0</v>
      </c>
      <c r="AC100" s="250">
        <f t="shared" si="265"/>
        <v>0</v>
      </c>
      <c r="AD100" s="250">
        <f t="shared" si="299"/>
        <v>0</v>
      </c>
      <c r="AE100" s="239">
        <f t="shared" si="218"/>
        <v>0</v>
      </c>
      <c r="AF100" s="251">
        <f t="shared" si="266"/>
        <v>0</v>
      </c>
      <c r="AG100" s="251">
        <f t="shared" si="267"/>
        <v>0</v>
      </c>
      <c r="AH100" s="251">
        <f t="shared" si="281"/>
        <v>0</v>
      </c>
      <c r="AI100" s="251">
        <f t="shared" si="268"/>
        <v>0</v>
      </c>
      <c r="AJ100" s="251">
        <f t="shared" si="269"/>
        <v>0</v>
      </c>
      <c r="AK100" s="251">
        <f t="shared" si="282"/>
        <v>0</v>
      </c>
      <c r="AL100" s="245">
        <f t="shared" si="223"/>
        <v>0</v>
      </c>
      <c r="AM100" s="252">
        <f t="shared" si="283"/>
        <v>0</v>
      </c>
      <c r="AN100" s="252">
        <f t="shared" si="270"/>
        <v>0</v>
      </c>
      <c r="AO100" s="252">
        <f t="shared" si="271"/>
        <v>0</v>
      </c>
      <c r="AP100" s="252">
        <f t="shared" si="272"/>
        <v>0</v>
      </c>
      <c r="AQ100" s="252">
        <f t="shared" si="273"/>
        <v>0</v>
      </c>
      <c r="AR100" s="252">
        <f t="shared" si="284"/>
        <v>0</v>
      </c>
      <c r="AS100" s="131"/>
      <c r="AT100" s="131"/>
      <c r="AU100" s="132"/>
      <c r="AV100" s="37"/>
      <c r="AW100" s="37"/>
      <c r="AX100" s="37"/>
      <c r="AY100" s="347"/>
      <c r="AZ100" s="347"/>
      <c r="BA100" s="130"/>
      <c r="BB100" s="130"/>
      <c r="BC100" s="130"/>
      <c r="BD100" s="130"/>
      <c r="BE100" s="133"/>
      <c r="BF100" s="341"/>
      <c r="BG100" s="342"/>
      <c r="BH100" s="343"/>
      <c r="BI100" s="344"/>
      <c r="BJ100" s="345"/>
      <c r="BK100" s="346"/>
      <c r="BL100" s="135"/>
      <c r="BM100" s="341"/>
      <c r="BN100" s="342"/>
      <c r="BO100" s="343"/>
      <c r="BP100" s="344"/>
      <c r="BQ100" s="345"/>
      <c r="BR100" s="346"/>
      <c r="BS100" s="136"/>
      <c r="BT100" s="341"/>
      <c r="BU100" s="342"/>
      <c r="BV100" s="343"/>
      <c r="BW100" s="344"/>
      <c r="BX100" s="345"/>
      <c r="BY100" s="346"/>
      <c r="BZ100" s="156"/>
      <c r="CA100" s="156"/>
      <c r="CB100" s="156"/>
      <c r="CC100" s="266">
        <f t="shared" si="285"/>
        <v>2092</v>
      </c>
      <c r="CD100" s="267">
        <f t="shared" si="301"/>
        <v>0</v>
      </c>
      <c r="CE100" s="267">
        <f t="shared" si="286"/>
        <v>0</v>
      </c>
      <c r="CF100" s="267">
        <f t="shared" si="287"/>
        <v>0</v>
      </c>
      <c r="CG100" s="267">
        <f t="shared" si="300"/>
        <v>0</v>
      </c>
      <c r="CH100" s="267">
        <f t="shared" si="288"/>
        <v>0</v>
      </c>
      <c r="CI100" s="267">
        <f t="shared" si="289"/>
        <v>0</v>
      </c>
      <c r="CJ100" s="269">
        <f t="shared" si="290"/>
        <v>37.23219067337098</v>
      </c>
      <c r="CK100" s="269">
        <f t="shared" si="291"/>
        <v>4.506100700894986</v>
      </c>
      <c r="CL100" s="270">
        <f t="shared" si="292"/>
        <v>2092</v>
      </c>
      <c r="CM100" s="271">
        <f t="shared" si="274"/>
        <v>0</v>
      </c>
      <c r="CN100" s="271">
        <f t="shared" si="293"/>
        <v>0</v>
      </c>
      <c r="CO100" s="271">
        <f t="shared" si="294"/>
        <v>0</v>
      </c>
      <c r="CP100" s="271">
        <f t="shared" si="275"/>
        <v>0</v>
      </c>
      <c r="CQ100" s="271">
        <f t="shared" si="276"/>
        <v>0</v>
      </c>
      <c r="CR100" s="271">
        <f t="shared" si="277"/>
        <v>0</v>
      </c>
      <c r="CS100" s="271">
        <f t="shared" si="295"/>
        <v>0</v>
      </c>
      <c r="CT100" s="271">
        <f t="shared" si="296"/>
        <v>0</v>
      </c>
      <c r="CU100" s="272">
        <f t="shared" si="297"/>
        <v>2092</v>
      </c>
      <c r="CV100" s="273">
        <f t="shared" si="278"/>
        <v>0</v>
      </c>
      <c r="CW100" s="273">
        <f t="shared" si="279"/>
        <v>0</v>
      </c>
      <c r="CX100" s="273">
        <f t="shared" si="280"/>
        <v>0</v>
      </c>
      <c r="CY100" s="273">
        <f>IF(CT99=0,0,IF(CT100&gt;0,0,IF(AND(SUM(CT$7:CT99)&gt;0,SUM(CT100:CT$100)=0),CB$42,0)))</f>
        <v>0</v>
      </c>
      <c r="CZ100" s="273">
        <f>IF(CT99=0,0,IF(CT100&gt;0,0,IF(AND(SUM(CT$7:CT99)&gt;0,SUM(CT100:CT$100)=0),CB$41,0)))</f>
        <v>0</v>
      </c>
      <c r="DA100" s="273">
        <f>IF(SUM(CT$7:CT$100)=0,0,IF(SUM(CT100:CT$100)=0,CZ100-CY100,CM100-SUM(CN100:CR100)-CY100+CZ100))</f>
        <v>0</v>
      </c>
      <c r="DB100" s="274">
        <f t="shared" si="298"/>
        <v>2092</v>
      </c>
      <c r="DC100" s="275">
        <f t="shared" si="254"/>
        <v>0</v>
      </c>
      <c r="DD100" s="275">
        <f t="shared" si="255"/>
        <v>0</v>
      </c>
      <c r="DE100" s="275">
        <f t="shared" si="256"/>
        <v>0</v>
      </c>
      <c r="DF100" s="275">
        <f t="shared" si="257"/>
        <v>0</v>
      </c>
      <c r="DG100" s="360">
        <f t="shared" si="258"/>
        <v>0</v>
      </c>
      <c r="DH100" s="56"/>
      <c r="DI100" s="56"/>
      <c r="DJ100" s="233"/>
      <c r="DK100" s="233"/>
      <c r="DL100" s="37"/>
      <c r="DM100" s="37"/>
      <c r="DN100" s="37"/>
    </row>
  </sheetData>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Chief OMS MSS</dc:creator>
  <cp:keywords/>
  <dc:description/>
  <cp:lastModifiedBy>farndont</cp:lastModifiedBy>
  <dcterms:created xsi:type="dcterms:W3CDTF">1998-10-21T15:32:03Z</dcterms:created>
  <cp:category/>
  <cp:version/>
  <cp:contentType/>
  <cp:contentStatus/>
</cp:coreProperties>
</file>