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NEW CATALOG\Atkinson\Info Collection\Control Numbers\0151\Forms\"/>
    </mc:Choice>
  </mc:AlternateContent>
  <xr:revisionPtr revIDLastSave="0" documentId="13_ncr:1_{57F729C7-B3AC-4EF7-A36C-EEE433097650}" xr6:coauthVersionLast="47" xr6:coauthVersionMax="47" xr10:uidLastSave="{00000000-0000-0000-0000-000000000000}"/>
  <bookViews>
    <workbookView xWindow="-120" yWindow="-120" windowWidth="29040" windowHeight="15720" tabRatio="939" xr2:uid="{00000000-000D-0000-FFFF-FFFF00000000}"/>
  </bookViews>
  <sheets>
    <sheet name="TITLE" sheetId="2" r:id="rId1"/>
    <sheet name="FACTORS" sheetId="3" r:id="rId2"/>
    <sheet name="EMISSIONS1" sheetId="4" r:id="rId3"/>
    <sheet name="EMISSIONS2" sheetId="11" r:id="rId4"/>
    <sheet name="EMISSIONS3" sheetId="12" r:id="rId5"/>
    <sheet name="EMISSIONS4" sheetId="13" r:id="rId6"/>
    <sheet name="EMISSIONS5" sheetId="14" r:id="rId7"/>
    <sheet name="EMISSIONS6" sheetId="16" r:id="rId8"/>
    <sheet name="EMISSIONS7" sheetId="15" r:id="rId9"/>
    <sheet name="EMISSIONS8" sheetId="17" r:id="rId10"/>
    <sheet name="EMISSIONS9" sheetId="18" r:id="rId11"/>
    <sheet name="EMISSIONS10" sheetId="19" r:id="rId12"/>
    <sheet name="SUMMARY" sheetId="9" r:id="rId13"/>
  </sheets>
  <externalReferences>
    <externalReference r:id="rId14"/>
  </externalReferences>
  <definedNames>
    <definedName name="_xlnm.Criteria" localSheetId="2">EMISSIONS1!#REF!</definedName>
    <definedName name="_xlnm.Criteria" localSheetId="11">EMISSIONS10!#REF!</definedName>
    <definedName name="_xlnm.Criteria" localSheetId="3">EMISSIONS2!#REF!</definedName>
    <definedName name="_xlnm.Criteria" localSheetId="4">EMISSIONS3!#REF!</definedName>
    <definedName name="_xlnm.Criteria" localSheetId="5">EMISSIONS4!#REF!</definedName>
    <definedName name="_xlnm.Criteria" localSheetId="6">EMISSIONS5!#REF!</definedName>
    <definedName name="_xlnm.Criteria" localSheetId="7">EMISSIONS6!#REF!</definedName>
    <definedName name="_xlnm.Criteria" localSheetId="8">EMISSIONS7!#REF!</definedName>
    <definedName name="_xlnm.Criteria" localSheetId="9">EMISSIONS8!#REF!</definedName>
    <definedName name="_xlnm.Criteria" localSheetId="10">EMISSIONS9!#REF!</definedName>
    <definedName name="_xlnm.Criteria" localSheetId="1">FACTORS!#REF!</definedName>
    <definedName name="_xlnm.Criteria" localSheetId="12">SUMMARY!#REF!</definedName>
    <definedName name="_xlnm.Print_Area" localSheetId="2">EMISSIONS1!$A$1:$Z$44</definedName>
    <definedName name="_xlnm.Print_Area" localSheetId="11">EMISSIONS10!$A$1:$Z$44</definedName>
    <definedName name="_xlnm.Print_Area" localSheetId="3">EMISSIONS2!$A$1:$Z$44</definedName>
    <definedName name="_xlnm.Print_Area" localSheetId="4">EMISSIONS3!$A$1:$Z$44</definedName>
    <definedName name="_xlnm.Print_Area" localSheetId="5">EMISSIONS4!$A$1:$Z$44</definedName>
    <definedName name="_xlnm.Print_Area" localSheetId="6">EMISSIONS5!$A$1:$Z$44</definedName>
    <definedName name="_xlnm.Print_Area" localSheetId="7">EMISSIONS6!$A$1:$Z$44</definedName>
    <definedName name="_xlnm.Print_Area" localSheetId="8">EMISSIONS7!$A$1:$Z$44</definedName>
    <definedName name="_xlnm.Print_Area" localSheetId="9">EMISSIONS8!$A$1:$Z$44</definedName>
    <definedName name="_xlnm.Print_Area" localSheetId="10">EMISSIONS9!$A$1:$Z$44</definedName>
    <definedName name="_xlnm.Print_Area" localSheetId="1">FACTORS!$A$1:$O$58</definedName>
    <definedName name="_xlnm.Print_Area" localSheetId="12">SUMMARY!$A$1:$J$17</definedName>
    <definedName name="_xlnm.Print_Area" localSheetId="0">TITLE!$A$1:$C$11</definedName>
    <definedName name="VESSEL_EF_OPTIONS">[1]Lookups!$BE$2:INDEX([1]Lookups!$BE$1:$BE$65536,COUNTA([1]Lookups!$BE$1:$BE$65536))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3" i="4" l="1"/>
  <c r="C8" i="9"/>
  <c r="D8" i="9"/>
  <c r="E8" i="9"/>
  <c r="F8" i="9"/>
  <c r="G8" i="9"/>
  <c r="H8" i="9"/>
  <c r="I8" i="9"/>
  <c r="J8" i="9"/>
  <c r="C9" i="9"/>
  <c r="D9" i="9"/>
  <c r="E9" i="9"/>
  <c r="F9" i="9"/>
  <c r="G9" i="9"/>
  <c r="H9" i="9"/>
  <c r="I9" i="9"/>
  <c r="J9" i="9"/>
  <c r="C10" i="9"/>
  <c r="D10" i="9"/>
  <c r="E10" i="9"/>
  <c r="F10" i="9"/>
  <c r="G10" i="9"/>
  <c r="H10" i="9"/>
  <c r="I10" i="9"/>
  <c r="J10" i="9"/>
  <c r="C11" i="9"/>
  <c r="D11" i="9"/>
  <c r="E11" i="9"/>
  <c r="F11" i="9"/>
  <c r="G11" i="9"/>
  <c r="H11" i="9"/>
  <c r="I11" i="9"/>
  <c r="J11" i="9"/>
  <c r="C12" i="9"/>
  <c r="D12" i="9"/>
  <c r="E12" i="9"/>
  <c r="F12" i="9"/>
  <c r="G12" i="9"/>
  <c r="H12" i="9"/>
  <c r="I12" i="9"/>
  <c r="J12" i="9"/>
  <c r="C13" i="9"/>
  <c r="D13" i="9"/>
  <c r="E13" i="9"/>
  <c r="F13" i="9"/>
  <c r="G13" i="9"/>
  <c r="H13" i="9"/>
  <c r="I13" i="9"/>
  <c r="J13" i="9"/>
  <c r="C14" i="9"/>
  <c r="D14" i="9"/>
  <c r="E14" i="9"/>
  <c r="F14" i="9"/>
  <c r="G14" i="9"/>
  <c r="H14" i="9"/>
  <c r="I14" i="9"/>
  <c r="J14" i="9"/>
  <c r="C15" i="9"/>
  <c r="D15" i="9"/>
  <c r="E15" i="9"/>
  <c r="F15" i="9"/>
  <c r="G15" i="9"/>
  <c r="H15" i="9"/>
  <c r="I15" i="9"/>
  <c r="J15" i="9"/>
  <c r="C16" i="9"/>
  <c r="D16" i="9"/>
  <c r="E16" i="9"/>
  <c r="F16" i="9"/>
  <c r="G16" i="9"/>
  <c r="H16" i="9"/>
  <c r="I16" i="9"/>
  <c r="J16" i="9"/>
  <c r="B16" i="9"/>
  <c r="B15" i="9"/>
  <c r="B14" i="9"/>
  <c r="B13" i="9"/>
  <c r="B12" i="9"/>
  <c r="B11" i="9"/>
  <c r="B10" i="9"/>
  <c r="B9" i="9"/>
  <c r="B8" i="9"/>
  <c r="Q43" i="19" l="1"/>
  <c r="P43" i="19"/>
  <c r="O43" i="19"/>
  <c r="N43" i="19"/>
  <c r="M43" i="19"/>
  <c r="L43" i="19"/>
  <c r="K43" i="19"/>
  <c r="J43" i="19"/>
  <c r="I43" i="19"/>
  <c r="Q42" i="19"/>
  <c r="P42" i="19"/>
  <c r="O42" i="19"/>
  <c r="N42" i="19"/>
  <c r="M42" i="19"/>
  <c r="L42" i="19"/>
  <c r="K42" i="19"/>
  <c r="J42" i="19"/>
  <c r="I42" i="19"/>
  <c r="Q41" i="19"/>
  <c r="P41" i="19"/>
  <c r="O41" i="19"/>
  <c r="N41" i="19"/>
  <c r="M41" i="19"/>
  <c r="L41" i="19"/>
  <c r="K41" i="19"/>
  <c r="J41" i="19"/>
  <c r="I41" i="19"/>
  <c r="Q40" i="19"/>
  <c r="P40" i="19"/>
  <c r="O40" i="19"/>
  <c r="N40" i="19"/>
  <c r="M40" i="19"/>
  <c r="L40" i="19"/>
  <c r="K40" i="19"/>
  <c r="J40" i="19"/>
  <c r="I40" i="19"/>
  <c r="Q39" i="19"/>
  <c r="P39" i="19"/>
  <c r="O39" i="19"/>
  <c r="N39" i="19"/>
  <c r="M39" i="19"/>
  <c r="L39" i="19"/>
  <c r="K39" i="19"/>
  <c r="J39" i="19"/>
  <c r="I39" i="19"/>
  <c r="Q38" i="19"/>
  <c r="P38" i="19"/>
  <c r="O38" i="19"/>
  <c r="N38" i="19"/>
  <c r="M38" i="19"/>
  <c r="L38" i="19"/>
  <c r="K38" i="19"/>
  <c r="J38" i="19"/>
  <c r="I38" i="19"/>
  <c r="Q37" i="19"/>
  <c r="P37" i="19"/>
  <c r="O37" i="19"/>
  <c r="N37" i="19"/>
  <c r="M37" i="19"/>
  <c r="L37" i="19"/>
  <c r="K37" i="19"/>
  <c r="J37" i="19"/>
  <c r="I37" i="19"/>
  <c r="Q36" i="19"/>
  <c r="P36" i="19"/>
  <c r="O36" i="19"/>
  <c r="N36" i="19"/>
  <c r="M36" i="19"/>
  <c r="L36" i="19"/>
  <c r="K36" i="19"/>
  <c r="J36" i="19"/>
  <c r="I36" i="19"/>
  <c r="Q32" i="19"/>
  <c r="O32" i="19"/>
  <c r="Q31" i="19"/>
  <c r="O31" i="19"/>
  <c r="Q30" i="19"/>
  <c r="O30" i="19"/>
  <c r="Q29" i="19"/>
  <c r="O29" i="19"/>
  <c r="Q28" i="19"/>
  <c r="O28" i="19"/>
  <c r="Q27" i="19"/>
  <c r="O27" i="19"/>
  <c r="Q26" i="19"/>
  <c r="O26" i="19"/>
  <c r="Q22" i="19"/>
  <c r="P22" i="19"/>
  <c r="N22" i="19"/>
  <c r="M22" i="19"/>
  <c r="L22" i="19"/>
  <c r="K22" i="19"/>
  <c r="J22" i="19"/>
  <c r="I22" i="19"/>
  <c r="Q20" i="19"/>
  <c r="O20" i="19"/>
  <c r="Q19" i="19"/>
  <c r="O19" i="19"/>
  <c r="Q18" i="19"/>
  <c r="O18" i="19"/>
  <c r="Q17" i="19"/>
  <c r="O17" i="19"/>
  <c r="K17" i="19"/>
  <c r="J17" i="19"/>
  <c r="I17" i="19"/>
  <c r="Q16" i="19"/>
  <c r="P16" i="19"/>
  <c r="O16" i="19"/>
  <c r="N16" i="19"/>
  <c r="M16" i="19"/>
  <c r="K16" i="19"/>
  <c r="J16" i="19"/>
  <c r="I16" i="19"/>
  <c r="Q14" i="19"/>
  <c r="O14" i="19"/>
  <c r="Q12" i="19"/>
  <c r="O12" i="19"/>
  <c r="Q11" i="19"/>
  <c r="P11" i="19"/>
  <c r="O11" i="19"/>
  <c r="N11" i="19"/>
  <c r="M11" i="19"/>
  <c r="L11" i="19"/>
  <c r="K11" i="19"/>
  <c r="J11" i="19"/>
  <c r="I11" i="19"/>
  <c r="Q10" i="19"/>
  <c r="O10" i="19"/>
  <c r="Q9" i="19"/>
  <c r="O9" i="19"/>
  <c r="Q8" i="19"/>
  <c r="O8" i="19"/>
  <c r="Q7" i="19"/>
  <c r="O7" i="19"/>
  <c r="Q43" i="18"/>
  <c r="P43" i="18"/>
  <c r="O43" i="18"/>
  <c r="N43" i="18"/>
  <c r="M43" i="18"/>
  <c r="L43" i="18"/>
  <c r="K43" i="18"/>
  <c r="J43" i="18"/>
  <c r="I43" i="18"/>
  <c r="Q42" i="18"/>
  <c r="P42" i="18"/>
  <c r="O42" i="18"/>
  <c r="N42" i="18"/>
  <c r="M42" i="18"/>
  <c r="L42" i="18"/>
  <c r="K42" i="18"/>
  <c r="J42" i="18"/>
  <c r="I42" i="18"/>
  <c r="Q41" i="18"/>
  <c r="P41" i="18"/>
  <c r="O41" i="18"/>
  <c r="N41" i="18"/>
  <c r="M41" i="18"/>
  <c r="L41" i="18"/>
  <c r="K41" i="18"/>
  <c r="J41" i="18"/>
  <c r="I41" i="18"/>
  <c r="Q40" i="18"/>
  <c r="P40" i="18"/>
  <c r="O40" i="18"/>
  <c r="N40" i="18"/>
  <c r="M40" i="18"/>
  <c r="L40" i="18"/>
  <c r="K40" i="18"/>
  <c r="J40" i="18"/>
  <c r="I40" i="18"/>
  <c r="Q39" i="18"/>
  <c r="P39" i="18"/>
  <c r="O39" i="18"/>
  <c r="N39" i="18"/>
  <c r="M39" i="18"/>
  <c r="L39" i="18"/>
  <c r="K39" i="18"/>
  <c r="J39" i="18"/>
  <c r="I39" i="18"/>
  <c r="Q38" i="18"/>
  <c r="P38" i="18"/>
  <c r="O38" i="18"/>
  <c r="N38" i="18"/>
  <c r="M38" i="18"/>
  <c r="L38" i="18"/>
  <c r="K38" i="18"/>
  <c r="J38" i="18"/>
  <c r="I38" i="18"/>
  <c r="Q37" i="18"/>
  <c r="P37" i="18"/>
  <c r="O37" i="18"/>
  <c r="N37" i="18"/>
  <c r="M37" i="18"/>
  <c r="L37" i="18"/>
  <c r="K37" i="18"/>
  <c r="J37" i="18"/>
  <c r="I37" i="18"/>
  <c r="Q36" i="18"/>
  <c r="P36" i="18"/>
  <c r="O36" i="18"/>
  <c r="N36" i="18"/>
  <c r="M36" i="18"/>
  <c r="L36" i="18"/>
  <c r="K36" i="18"/>
  <c r="J36" i="18"/>
  <c r="I36" i="18"/>
  <c r="Q32" i="18"/>
  <c r="O32" i="18"/>
  <c r="Q31" i="18"/>
  <c r="O31" i="18"/>
  <c r="Q30" i="18"/>
  <c r="O30" i="18"/>
  <c r="Q29" i="18"/>
  <c r="O29" i="18"/>
  <c r="Q28" i="18"/>
  <c r="O28" i="18"/>
  <c r="Q27" i="18"/>
  <c r="O27" i="18"/>
  <c r="Q26" i="18"/>
  <c r="O26" i="18"/>
  <c r="Q22" i="18"/>
  <c r="P22" i="18"/>
  <c r="N22" i="18"/>
  <c r="M22" i="18"/>
  <c r="L22" i="18"/>
  <c r="K22" i="18"/>
  <c r="J22" i="18"/>
  <c r="I22" i="18"/>
  <c r="Q20" i="18"/>
  <c r="O20" i="18"/>
  <c r="Q19" i="18"/>
  <c r="O19" i="18"/>
  <c r="Q18" i="18"/>
  <c r="O18" i="18"/>
  <c r="Q17" i="18"/>
  <c r="O17" i="18"/>
  <c r="K17" i="18"/>
  <c r="J17" i="18"/>
  <c r="I17" i="18"/>
  <c r="Q16" i="18"/>
  <c r="P16" i="18"/>
  <c r="O16" i="18"/>
  <c r="N16" i="18"/>
  <c r="M16" i="18"/>
  <c r="K16" i="18"/>
  <c r="J16" i="18"/>
  <c r="I16" i="18"/>
  <c r="Q14" i="18"/>
  <c r="O14" i="18"/>
  <c r="Q12" i="18"/>
  <c r="O12" i="18"/>
  <c r="Q11" i="18"/>
  <c r="P11" i="18"/>
  <c r="O11" i="18"/>
  <c r="N11" i="18"/>
  <c r="M11" i="18"/>
  <c r="L11" i="18"/>
  <c r="K11" i="18"/>
  <c r="J11" i="18"/>
  <c r="I11" i="18"/>
  <c r="Q10" i="18"/>
  <c r="O10" i="18"/>
  <c r="Q9" i="18"/>
  <c r="O9" i="18"/>
  <c r="Q8" i="18"/>
  <c r="O8" i="18"/>
  <c r="Q7" i="18"/>
  <c r="O7" i="18"/>
  <c r="Q43" i="17"/>
  <c r="P43" i="17"/>
  <c r="O43" i="17"/>
  <c r="N43" i="17"/>
  <c r="M43" i="17"/>
  <c r="L43" i="17"/>
  <c r="K43" i="17"/>
  <c r="J43" i="17"/>
  <c r="I43" i="17"/>
  <c r="Q42" i="17"/>
  <c r="P42" i="17"/>
  <c r="O42" i="17"/>
  <c r="N42" i="17"/>
  <c r="M42" i="17"/>
  <c r="L42" i="17"/>
  <c r="K42" i="17"/>
  <c r="J42" i="17"/>
  <c r="I42" i="17"/>
  <c r="Q41" i="17"/>
  <c r="P41" i="17"/>
  <c r="O41" i="17"/>
  <c r="N41" i="17"/>
  <c r="M41" i="17"/>
  <c r="L41" i="17"/>
  <c r="K41" i="17"/>
  <c r="J41" i="17"/>
  <c r="I41" i="17"/>
  <c r="Q40" i="17"/>
  <c r="P40" i="17"/>
  <c r="O40" i="17"/>
  <c r="N40" i="17"/>
  <c r="M40" i="17"/>
  <c r="L40" i="17"/>
  <c r="K40" i="17"/>
  <c r="J40" i="17"/>
  <c r="I40" i="17"/>
  <c r="Q39" i="17"/>
  <c r="P39" i="17"/>
  <c r="O39" i="17"/>
  <c r="N39" i="17"/>
  <c r="M39" i="17"/>
  <c r="L39" i="17"/>
  <c r="K39" i="17"/>
  <c r="J39" i="17"/>
  <c r="I39" i="17"/>
  <c r="Q38" i="17"/>
  <c r="P38" i="17"/>
  <c r="O38" i="17"/>
  <c r="N38" i="17"/>
  <c r="M38" i="17"/>
  <c r="L38" i="17"/>
  <c r="K38" i="17"/>
  <c r="J38" i="17"/>
  <c r="I38" i="17"/>
  <c r="Q37" i="17"/>
  <c r="P37" i="17"/>
  <c r="O37" i="17"/>
  <c r="N37" i="17"/>
  <c r="M37" i="17"/>
  <c r="L37" i="17"/>
  <c r="K37" i="17"/>
  <c r="J37" i="17"/>
  <c r="I37" i="17"/>
  <c r="Q36" i="17"/>
  <c r="P36" i="17"/>
  <c r="O36" i="17"/>
  <c r="N36" i="17"/>
  <c r="M36" i="17"/>
  <c r="L36" i="17"/>
  <c r="K36" i="17"/>
  <c r="J36" i="17"/>
  <c r="I36" i="17"/>
  <c r="Q32" i="17"/>
  <c r="O32" i="17"/>
  <c r="Q31" i="17"/>
  <c r="O31" i="17"/>
  <c r="Q30" i="17"/>
  <c r="O30" i="17"/>
  <c r="Q29" i="17"/>
  <c r="O29" i="17"/>
  <c r="Q28" i="17"/>
  <c r="O28" i="17"/>
  <c r="Q27" i="17"/>
  <c r="O27" i="17"/>
  <c r="Q26" i="17"/>
  <c r="O26" i="17"/>
  <c r="Q22" i="17"/>
  <c r="P22" i="17"/>
  <c r="N22" i="17"/>
  <c r="M22" i="17"/>
  <c r="L22" i="17"/>
  <c r="K22" i="17"/>
  <c r="J22" i="17"/>
  <c r="I22" i="17"/>
  <c r="Q20" i="17"/>
  <c r="O20" i="17"/>
  <c r="Q19" i="17"/>
  <c r="O19" i="17"/>
  <c r="Q18" i="17"/>
  <c r="O18" i="17"/>
  <c r="Q17" i="17"/>
  <c r="O17" i="17"/>
  <c r="K17" i="17"/>
  <c r="J17" i="17"/>
  <c r="I17" i="17"/>
  <c r="Q16" i="17"/>
  <c r="P16" i="17"/>
  <c r="O16" i="17"/>
  <c r="N16" i="17"/>
  <c r="M16" i="17"/>
  <c r="K16" i="17"/>
  <c r="J16" i="17"/>
  <c r="I16" i="17"/>
  <c r="Q14" i="17"/>
  <c r="O14" i="17"/>
  <c r="Q12" i="17"/>
  <c r="O12" i="17"/>
  <c r="Q11" i="17"/>
  <c r="P11" i="17"/>
  <c r="O11" i="17"/>
  <c r="N11" i="17"/>
  <c r="M11" i="17"/>
  <c r="L11" i="17"/>
  <c r="K11" i="17"/>
  <c r="J11" i="17"/>
  <c r="I11" i="17"/>
  <c r="Q10" i="17"/>
  <c r="O10" i="17"/>
  <c r="Q9" i="17"/>
  <c r="O9" i="17"/>
  <c r="Q8" i="17"/>
  <c r="O8" i="17"/>
  <c r="Q7" i="17"/>
  <c r="O7" i="17"/>
  <c r="Q43" i="15"/>
  <c r="P43" i="15"/>
  <c r="O43" i="15"/>
  <c r="N43" i="15"/>
  <c r="M43" i="15"/>
  <c r="L43" i="15"/>
  <c r="K43" i="15"/>
  <c r="J43" i="15"/>
  <c r="I43" i="15"/>
  <c r="Q42" i="15"/>
  <c r="P42" i="15"/>
  <c r="O42" i="15"/>
  <c r="N42" i="15"/>
  <c r="M42" i="15"/>
  <c r="L42" i="15"/>
  <c r="K42" i="15"/>
  <c r="J42" i="15"/>
  <c r="I42" i="15"/>
  <c r="Q41" i="15"/>
  <c r="P41" i="15"/>
  <c r="O41" i="15"/>
  <c r="N41" i="15"/>
  <c r="M41" i="15"/>
  <c r="L41" i="15"/>
  <c r="K41" i="15"/>
  <c r="J41" i="15"/>
  <c r="I41" i="15"/>
  <c r="Q40" i="15"/>
  <c r="P40" i="15"/>
  <c r="O40" i="15"/>
  <c r="N40" i="15"/>
  <c r="M40" i="15"/>
  <c r="L40" i="15"/>
  <c r="K40" i="15"/>
  <c r="J40" i="15"/>
  <c r="I40" i="15"/>
  <c r="Q39" i="15"/>
  <c r="P39" i="15"/>
  <c r="O39" i="15"/>
  <c r="N39" i="15"/>
  <c r="M39" i="15"/>
  <c r="L39" i="15"/>
  <c r="K39" i="15"/>
  <c r="J39" i="15"/>
  <c r="I39" i="15"/>
  <c r="Q38" i="15"/>
  <c r="P38" i="15"/>
  <c r="O38" i="15"/>
  <c r="N38" i="15"/>
  <c r="M38" i="15"/>
  <c r="L38" i="15"/>
  <c r="K38" i="15"/>
  <c r="J38" i="15"/>
  <c r="I38" i="15"/>
  <c r="Q37" i="15"/>
  <c r="P37" i="15"/>
  <c r="O37" i="15"/>
  <c r="N37" i="15"/>
  <c r="M37" i="15"/>
  <c r="L37" i="15"/>
  <c r="K37" i="15"/>
  <c r="J37" i="15"/>
  <c r="I37" i="15"/>
  <c r="Q36" i="15"/>
  <c r="P36" i="15"/>
  <c r="O36" i="15"/>
  <c r="N36" i="15"/>
  <c r="M36" i="15"/>
  <c r="L36" i="15"/>
  <c r="K36" i="15"/>
  <c r="J36" i="15"/>
  <c r="I36" i="15"/>
  <c r="Q32" i="15"/>
  <c r="O32" i="15"/>
  <c r="Q31" i="15"/>
  <c r="O31" i="15"/>
  <c r="Q30" i="15"/>
  <c r="O30" i="15"/>
  <c r="Q29" i="15"/>
  <c r="O29" i="15"/>
  <c r="Q28" i="15"/>
  <c r="O28" i="15"/>
  <c r="Q27" i="15"/>
  <c r="O27" i="15"/>
  <c r="Q26" i="15"/>
  <c r="O26" i="15"/>
  <c r="Q22" i="15"/>
  <c r="P22" i="15"/>
  <c r="N22" i="15"/>
  <c r="M22" i="15"/>
  <c r="L22" i="15"/>
  <c r="K22" i="15"/>
  <c r="J22" i="15"/>
  <c r="I22" i="15"/>
  <c r="Q20" i="15"/>
  <c r="O20" i="15"/>
  <c r="Q19" i="15"/>
  <c r="O19" i="15"/>
  <c r="Q18" i="15"/>
  <c r="O18" i="15"/>
  <c r="Q17" i="15"/>
  <c r="O17" i="15"/>
  <c r="K17" i="15"/>
  <c r="J17" i="15"/>
  <c r="I17" i="15"/>
  <c r="Q16" i="15"/>
  <c r="P16" i="15"/>
  <c r="O16" i="15"/>
  <c r="N16" i="15"/>
  <c r="M16" i="15"/>
  <c r="K16" i="15"/>
  <c r="J16" i="15"/>
  <c r="I16" i="15"/>
  <c r="Q14" i="15"/>
  <c r="O14" i="15"/>
  <c r="Q12" i="15"/>
  <c r="O12" i="15"/>
  <c r="Q11" i="15"/>
  <c r="P11" i="15"/>
  <c r="O11" i="15"/>
  <c r="N11" i="15"/>
  <c r="M11" i="15"/>
  <c r="L11" i="15"/>
  <c r="K11" i="15"/>
  <c r="J11" i="15"/>
  <c r="I11" i="15"/>
  <c r="Q10" i="15"/>
  <c r="O10" i="15"/>
  <c r="Q9" i="15"/>
  <c r="O9" i="15"/>
  <c r="Q8" i="15"/>
  <c r="O8" i="15"/>
  <c r="Q7" i="15"/>
  <c r="Q23" i="15" s="1"/>
  <c r="O7" i="15"/>
  <c r="Q43" i="16"/>
  <c r="P43" i="16"/>
  <c r="O43" i="16"/>
  <c r="N43" i="16"/>
  <c r="M43" i="16"/>
  <c r="L43" i="16"/>
  <c r="K43" i="16"/>
  <c r="J43" i="16"/>
  <c r="I43" i="16"/>
  <c r="Q42" i="16"/>
  <c r="P42" i="16"/>
  <c r="O42" i="16"/>
  <c r="N42" i="16"/>
  <c r="M42" i="16"/>
  <c r="L42" i="16"/>
  <c r="K42" i="16"/>
  <c r="J42" i="16"/>
  <c r="I42" i="16"/>
  <c r="Q41" i="16"/>
  <c r="P41" i="16"/>
  <c r="O41" i="16"/>
  <c r="N41" i="16"/>
  <c r="M41" i="16"/>
  <c r="L41" i="16"/>
  <c r="K41" i="16"/>
  <c r="J41" i="16"/>
  <c r="I41" i="16"/>
  <c r="Q40" i="16"/>
  <c r="P40" i="16"/>
  <c r="O40" i="16"/>
  <c r="N40" i="16"/>
  <c r="M40" i="16"/>
  <c r="L40" i="16"/>
  <c r="K40" i="16"/>
  <c r="J40" i="16"/>
  <c r="I40" i="16"/>
  <c r="Q39" i="16"/>
  <c r="P39" i="16"/>
  <c r="O39" i="16"/>
  <c r="N39" i="16"/>
  <c r="M39" i="16"/>
  <c r="L39" i="16"/>
  <c r="K39" i="16"/>
  <c r="J39" i="16"/>
  <c r="I39" i="16"/>
  <c r="Q38" i="16"/>
  <c r="P38" i="16"/>
  <c r="O38" i="16"/>
  <c r="N38" i="16"/>
  <c r="M38" i="16"/>
  <c r="L38" i="16"/>
  <c r="K38" i="16"/>
  <c r="J38" i="16"/>
  <c r="I38" i="16"/>
  <c r="Q37" i="16"/>
  <c r="P37" i="16"/>
  <c r="O37" i="16"/>
  <c r="N37" i="16"/>
  <c r="M37" i="16"/>
  <c r="L37" i="16"/>
  <c r="K37" i="16"/>
  <c r="J37" i="16"/>
  <c r="I37" i="16"/>
  <c r="Q36" i="16"/>
  <c r="P36" i="16"/>
  <c r="O36" i="16"/>
  <c r="N36" i="16"/>
  <c r="M36" i="16"/>
  <c r="L36" i="16"/>
  <c r="K36" i="16"/>
  <c r="J36" i="16"/>
  <c r="I36" i="16"/>
  <c r="Q32" i="16"/>
  <c r="O32" i="16"/>
  <c r="Q31" i="16"/>
  <c r="O31" i="16"/>
  <c r="Q30" i="16"/>
  <c r="O30" i="16"/>
  <c r="Q29" i="16"/>
  <c r="O29" i="16"/>
  <c r="Q28" i="16"/>
  <c r="O28" i="16"/>
  <c r="Q27" i="16"/>
  <c r="O27" i="16"/>
  <c r="Q26" i="16"/>
  <c r="O26" i="16"/>
  <c r="Q22" i="16"/>
  <c r="P22" i="16"/>
  <c r="N22" i="16"/>
  <c r="M22" i="16"/>
  <c r="L22" i="16"/>
  <c r="K22" i="16"/>
  <c r="J22" i="16"/>
  <c r="I22" i="16"/>
  <c r="Q20" i="16"/>
  <c r="O20" i="16"/>
  <c r="Q19" i="16"/>
  <c r="O19" i="16"/>
  <c r="Q18" i="16"/>
  <c r="O18" i="16"/>
  <c r="Q17" i="16"/>
  <c r="O17" i="16"/>
  <c r="K17" i="16"/>
  <c r="J17" i="16"/>
  <c r="I17" i="16"/>
  <c r="Q16" i="16"/>
  <c r="P16" i="16"/>
  <c r="O16" i="16"/>
  <c r="N16" i="16"/>
  <c r="M16" i="16"/>
  <c r="K16" i="16"/>
  <c r="J16" i="16"/>
  <c r="I16" i="16"/>
  <c r="Q14" i="16"/>
  <c r="O14" i="16"/>
  <c r="Q12" i="16"/>
  <c r="O12" i="16"/>
  <c r="Q11" i="16"/>
  <c r="P11" i="16"/>
  <c r="O11" i="16"/>
  <c r="N11" i="16"/>
  <c r="M11" i="16"/>
  <c r="L11" i="16"/>
  <c r="K11" i="16"/>
  <c r="J11" i="16"/>
  <c r="I11" i="16"/>
  <c r="Q10" i="16"/>
  <c r="O10" i="16"/>
  <c r="Q9" i="16"/>
  <c r="O9" i="16"/>
  <c r="Q8" i="16"/>
  <c r="O8" i="16"/>
  <c r="Q7" i="16"/>
  <c r="O7" i="16"/>
  <c r="Q43" i="14"/>
  <c r="P43" i="14"/>
  <c r="O43" i="14"/>
  <c r="N43" i="14"/>
  <c r="M43" i="14"/>
  <c r="L43" i="14"/>
  <c r="K43" i="14"/>
  <c r="J43" i="14"/>
  <c r="I43" i="14"/>
  <c r="Q42" i="14"/>
  <c r="P42" i="14"/>
  <c r="O42" i="14"/>
  <c r="N42" i="14"/>
  <c r="M42" i="14"/>
  <c r="L42" i="14"/>
  <c r="K42" i="14"/>
  <c r="J42" i="14"/>
  <c r="I42" i="14"/>
  <c r="Q41" i="14"/>
  <c r="P41" i="14"/>
  <c r="O41" i="14"/>
  <c r="N41" i="14"/>
  <c r="M41" i="14"/>
  <c r="L41" i="14"/>
  <c r="K41" i="14"/>
  <c r="J41" i="14"/>
  <c r="I41" i="14"/>
  <c r="Q40" i="14"/>
  <c r="P40" i="14"/>
  <c r="O40" i="14"/>
  <c r="N40" i="14"/>
  <c r="M40" i="14"/>
  <c r="L40" i="14"/>
  <c r="K40" i="14"/>
  <c r="J40" i="14"/>
  <c r="I40" i="14"/>
  <c r="Q39" i="14"/>
  <c r="P39" i="14"/>
  <c r="O39" i="14"/>
  <c r="N39" i="14"/>
  <c r="M39" i="14"/>
  <c r="L39" i="14"/>
  <c r="K39" i="14"/>
  <c r="J39" i="14"/>
  <c r="I39" i="14"/>
  <c r="Q38" i="14"/>
  <c r="P38" i="14"/>
  <c r="O38" i="14"/>
  <c r="N38" i="14"/>
  <c r="M38" i="14"/>
  <c r="L38" i="14"/>
  <c r="K38" i="14"/>
  <c r="J38" i="14"/>
  <c r="I38" i="14"/>
  <c r="Q37" i="14"/>
  <c r="P37" i="14"/>
  <c r="O37" i="14"/>
  <c r="N37" i="14"/>
  <c r="M37" i="14"/>
  <c r="L37" i="14"/>
  <c r="K37" i="14"/>
  <c r="J37" i="14"/>
  <c r="I37" i="14"/>
  <c r="Q36" i="14"/>
  <c r="P36" i="14"/>
  <c r="O36" i="14"/>
  <c r="N36" i="14"/>
  <c r="M36" i="14"/>
  <c r="L36" i="14"/>
  <c r="K36" i="14"/>
  <c r="J36" i="14"/>
  <c r="I36" i="14"/>
  <c r="Q32" i="14"/>
  <c r="O32" i="14"/>
  <c r="Q31" i="14"/>
  <c r="O31" i="14"/>
  <c r="Q30" i="14"/>
  <c r="O30" i="14"/>
  <c r="Q29" i="14"/>
  <c r="O29" i="14"/>
  <c r="Q28" i="14"/>
  <c r="O28" i="14"/>
  <c r="Q27" i="14"/>
  <c r="O27" i="14"/>
  <c r="Q26" i="14"/>
  <c r="O26" i="14"/>
  <c r="Q22" i="14"/>
  <c r="P22" i="14"/>
  <c r="N22" i="14"/>
  <c r="M22" i="14"/>
  <c r="L22" i="14"/>
  <c r="K22" i="14"/>
  <c r="J22" i="14"/>
  <c r="I22" i="14"/>
  <c r="Q20" i="14"/>
  <c r="O20" i="14"/>
  <c r="Q19" i="14"/>
  <c r="O19" i="14"/>
  <c r="Q18" i="14"/>
  <c r="O18" i="14"/>
  <c r="Q17" i="14"/>
  <c r="O17" i="14"/>
  <c r="K17" i="14"/>
  <c r="J17" i="14"/>
  <c r="I17" i="14"/>
  <c r="Q16" i="14"/>
  <c r="P16" i="14"/>
  <c r="O16" i="14"/>
  <c r="N16" i="14"/>
  <c r="M16" i="14"/>
  <c r="K16" i="14"/>
  <c r="J16" i="14"/>
  <c r="I16" i="14"/>
  <c r="Q14" i="14"/>
  <c r="O14" i="14"/>
  <c r="Q12" i="14"/>
  <c r="O12" i="14"/>
  <c r="Q11" i="14"/>
  <c r="P11" i="14"/>
  <c r="O11" i="14"/>
  <c r="N11" i="14"/>
  <c r="M11" i="14"/>
  <c r="L11" i="14"/>
  <c r="K11" i="14"/>
  <c r="J11" i="14"/>
  <c r="I11" i="14"/>
  <c r="Q10" i="14"/>
  <c r="O10" i="14"/>
  <c r="Q9" i="14"/>
  <c r="O9" i="14"/>
  <c r="Q8" i="14"/>
  <c r="O8" i="14"/>
  <c r="Q7" i="14"/>
  <c r="O7" i="14"/>
  <c r="Q43" i="13"/>
  <c r="P43" i="13"/>
  <c r="O43" i="13"/>
  <c r="N43" i="13"/>
  <c r="M43" i="13"/>
  <c r="L43" i="13"/>
  <c r="K43" i="13"/>
  <c r="J43" i="13"/>
  <c r="I43" i="13"/>
  <c r="Q42" i="13"/>
  <c r="P42" i="13"/>
  <c r="O42" i="13"/>
  <c r="N42" i="13"/>
  <c r="M42" i="13"/>
  <c r="L42" i="13"/>
  <c r="K42" i="13"/>
  <c r="J42" i="13"/>
  <c r="I42" i="13"/>
  <c r="Q41" i="13"/>
  <c r="P41" i="13"/>
  <c r="O41" i="13"/>
  <c r="N41" i="13"/>
  <c r="M41" i="13"/>
  <c r="L41" i="13"/>
  <c r="K41" i="13"/>
  <c r="J41" i="13"/>
  <c r="I41" i="13"/>
  <c r="Q40" i="13"/>
  <c r="P40" i="13"/>
  <c r="O40" i="13"/>
  <c r="N40" i="13"/>
  <c r="M40" i="13"/>
  <c r="L40" i="13"/>
  <c r="K40" i="13"/>
  <c r="J40" i="13"/>
  <c r="I40" i="13"/>
  <c r="Q39" i="13"/>
  <c r="P39" i="13"/>
  <c r="O39" i="13"/>
  <c r="N39" i="13"/>
  <c r="M39" i="13"/>
  <c r="L39" i="13"/>
  <c r="K39" i="13"/>
  <c r="J39" i="13"/>
  <c r="I39" i="13"/>
  <c r="Q38" i="13"/>
  <c r="P38" i="13"/>
  <c r="O38" i="13"/>
  <c r="N38" i="13"/>
  <c r="M38" i="13"/>
  <c r="L38" i="13"/>
  <c r="K38" i="13"/>
  <c r="J38" i="13"/>
  <c r="I38" i="13"/>
  <c r="Q37" i="13"/>
  <c r="P37" i="13"/>
  <c r="O37" i="13"/>
  <c r="N37" i="13"/>
  <c r="M37" i="13"/>
  <c r="L37" i="13"/>
  <c r="K37" i="13"/>
  <c r="J37" i="13"/>
  <c r="I37" i="13"/>
  <c r="Q36" i="13"/>
  <c r="P36" i="13"/>
  <c r="O36" i="13"/>
  <c r="N36" i="13"/>
  <c r="M36" i="13"/>
  <c r="L36" i="13"/>
  <c r="K36" i="13"/>
  <c r="J36" i="13"/>
  <c r="I36" i="13"/>
  <c r="Q32" i="13"/>
  <c r="O32" i="13"/>
  <c r="Q31" i="13"/>
  <c r="O31" i="13"/>
  <c r="Q30" i="13"/>
  <c r="O30" i="13"/>
  <c r="Q29" i="13"/>
  <c r="O29" i="13"/>
  <c r="Q28" i="13"/>
  <c r="O28" i="13"/>
  <c r="Q27" i="13"/>
  <c r="O27" i="13"/>
  <c r="Q26" i="13"/>
  <c r="O26" i="13"/>
  <c r="Q22" i="13"/>
  <c r="P22" i="13"/>
  <c r="N22" i="13"/>
  <c r="M22" i="13"/>
  <c r="L22" i="13"/>
  <c r="K22" i="13"/>
  <c r="J22" i="13"/>
  <c r="I22" i="13"/>
  <c r="Q20" i="13"/>
  <c r="O20" i="13"/>
  <c r="Q19" i="13"/>
  <c r="O19" i="13"/>
  <c r="Q18" i="13"/>
  <c r="O18" i="13"/>
  <c r="Q17" i="13"/>
  <c r="O17" i="13"/>
  <c r="K17" i="13"/>
  <c r="J17" i="13"/>
  <c r="I17" i="13"/>
  <c r="Q16" i="13"/>
  <c r="P16" i="13"/>
  <c r="O16" i="13"/>
  <c r="N16" i="13"/>
  <c r="M16" i="13"/>
  <c r="K16" i="13"/>
  <c r="J16" i="13"/>
  <c r="I16" i="13"/>
  <c r="Q14" i="13"/>
  <c r="O14" i="13"/>
  <c r="Q12" i="13"/>
  <c r="O12" i="13"/>
  <c r="Q11" i="13"/>
  <c r="P11" i="13"/>
  <c r="O11" i="13"/>
  <c r="N11" i="13"/>
  <c r="M11" i="13"/>
  <c r="L11" i="13"/>
  <c r="K11" i="13"/>
  <c r="J11" i="13"/>
  <c r="I11" i="13"/>
  <c r="Q10" i="13"/>
  <c r="O10" i="13"/>
  <c r="Q9" i="13"/>
  <c r="O9" i="13"/>
  <c r="Q8" i="13"/>
  <c r="O8" i="13"/>
  <c r="Q7" i="13"/>
  <c r="O7" i="13"/>
  <c r="Q43" i="12"/>
  <c r="P43" i="12"/>
  <c r="O43" i="12"/>
  <c r="N43" i="12"/>
  <c r="M43" i="12"/>
  <c r="L43" i="12"/>
  <c r="K43" i="12"/>
  <c r="J43" i="12"/>
  <c r="I43" i="12"/>
  <c r="Q42" i="12"/>
  <c r="P42" i="12"/>
  <c r="O42" i="12"/>
  <c r="N42" i="12"/>
  <c r="M42" i="12"/>
  <c r="L42" i="12"/>
  <c r="K42" i="12"/>
  <c r="J42" i="12"/>
  <c r="I42" i="12"/>
  <c r="Q41" i="12"/>
  <c r="P41" i="12"/>
  <c r="O41" i="12"/>
  <c r="N41" i="12"/>
  <c r="M41" i="12"/>
  <c r="L41" i="12"/>
  <c r="K41" i="12"/>
  <c r="J41" i="12"/>
  <c r="I41" i="12"/>
  <c r="Q40" i="12"/>
  <c r="P40" i="12"/>
  <c r="O40" i="12"/>
  <c r="N40" i="12"/>
  <c r="M40" i="12"/>
  <c r="L40" i="12"/>
  <c r="K40" i="12"/>
  <c r="J40" i="12"/>
  <c r="I40" i="12"/>
  <c r="Q39" i="12"/>
  <c r="P39" i="12"/>
  <c r="O39" i="12"/>
  <c r="N39" i="12"/>
  <c r="M39" i="12"/>
  <c r="L39" i="12"/>
  <c r="K39" i="12"/>
  <c r="J39" i="12"/>
  <c r="I39" i="12"/>
  <c r="Q38" i="12"/>
  <c r="P38" i="12"/>
  <c r="O38" i="12"/>
  <c r="N38" i="12"/>
  <c r="M38" i="12"/>
  <c r="L38" i="12"/>
  <c r="K38" i="12"/>
  <c r="J38" i="12"/>
  <c r="I38" i="12"/>
  <c r="Q37" i="12"/>
  <c r="P37" i="12"/>
  <c r="O37" i="12"/>
  <c r="N37" i="12"/>
  <c r="M37" i="12"/>
  <c r="L37" i="12"/>
  <c r="K37" i="12"/>
  <c r="J37" i="12"/>
  <c r="I37" i="12"/>
  <c r="Q36" i="12"/>
  <c r="P36" i="12"/>
  <c r="O36" i="12"/>
  <c r="N36" i="12"/>
  <c r="M36" i="12"/>
  <c r="L36" i="12"/>
  <c r="K36" i="12"/>
  <c r="J36" i="12"/>
  <c r="I36" i="12"/>
  <c r="Q32" i="12"/>
  <c r="O32" i="12"/>
  <c r="Q31" i="12"/>
  <c r="O31" i="12"/>
  <c r="Q30" i="12"/>
  <c r="O30" i="12"/>
  <c r="Q29" i="12"/>
  <c r="O29" i="12"/>
  <c r="Q28" i="12"/>
  <c r="O28" i="12"/>
  <c r="Q27" i="12"/>
  <c r="O27" i="12"/>
  <c r="Q26" i="12"/>
  <c r="O26" i="12"/>
  <c r="Q22" i="12"/>
  <c r="P22" i="12"/>
  <c r="N22" i="12"/>
  <c r="M22" i="12"/>
  <c r="L22" i="12"/>
  <c r="K22" i="12"/>
  <c r="J22" i="12"/>
  <c r="I22" i="12"/>
  <c r="Q20" i="12"/>
  <c r="O20" i="12"/>
  <c r="Q19" i="12"/>
  <c r="O19" i="12"/>
  <c r="Q18" i="12"/>
  <c r="O18" i="12"/>
  <c r="Q17" i="12"/>
  <c r="O17" i="12"/>
  <c r="K17" i="12"/>
  <c r="J17" i="12"/>
  <c r="I17" i="12"/>
  <c r="Q16" i="12"/>
  <c r="P16" i="12"/>
  <c r="O16" i="12"/>
  <c r="N16" i="12"/>
  <c r="M16" i="12"/>
  <c r="K16" i="12"/>
  <c r="J16" i="12"/>
  <c r="I16" i="12"/>
  <c r="Q14" i="12"/>
  <c r="O14" i="12"/>
  <c r="Q12" i="12"/>
  <c r="O12" i="12"/>
  <c r="Q11" i="12"/>
  <c r="P11" i="12"/>
  <c r="O11" i="12"/>
  <c r="N11" i="12"/>
  <c r="M11" i="12"/>
  <c r="L11" i="12"/>
  <c r="K11" i="12"/>
  <c r="J11" i="12"/>
  <c r="I11" i="12"/>
  <c r="Q10" i="12"/>
  <c r="O10" i="12"/>
  <c r="Q9" i="12"/>
  <c r="O9" i="12"/>
  <c r="Q8" i="12"/>
  <c r="O8" i="12"/>
  <c r="Q7" i="12"/>
  <c r="O7" i="12"/>
  <c r="Q43" i="11"/>
  <c r="P43" i="11"/>
  <c r="O43" i="11"/>
  <c r="N43" i="11"/>
  <c r="M43" i="11"/>
  <c r="L43" i="11"/>
  <c r="K43" i="11"/>
  <c r="J43" i="11"/>
  <c r="I43" i="11"/>
  <c r="Q42" i="11"/>
  <c r="P42" i="11"/>
  <c r="O42" i="11"/>
  <c r="N42" i="11"/>
  <c r="M42" i="11"/>
  <c r="L42" i="11"/>
  <c r="K42" i="11"/>
  <c r="J42" i="11"/>
  <c r="I42" i="11"/>
  <c r="Q41" i="11"/>
  <c r="P41" i="11"/>
  <c r="O41" i="11"/>
  <c r="N41" i="11"/>
  <c r="M41" i="11"/>
  <c r="L41" i="11"/>
  <c r="K41" i="11"/>
  <c r="J41" i="11"/>
  <c r="I41" i="11"/>
  <c r="Q40" i="11"/>
  <c r="P40" i="11"/>
  <c r="O40" i="11"/>
  <c r="N40" i="11"/>
  <c r="M40" i="11"/>
  <c r="L40" i="11"/>
  <c r="K40" i="11"/>
  <c r="J40" i="11"/>
  <c r="I40" i="11"/>
  <c r="Q39" i="11"/>
  <c r="P39" i="11"/>
  <c r="O39" i="11"/>
  <c r="N39" i="11"/>
  <c r="M39" i="11"/>
  <c r="L39" i="11"/>
  <c r="K39" i="11"/>
  <c r="J39" i="11"/>
  <c r="I39" i="11"/>
  <c r="Q38" i="11"/>
  <c r="P38" i="11"/>
  <c r="O38" i="11"/>
  <c r="N38" i="11"/>
  <c r="M38" i="11"/>
  <c r="L38" i="11"/>
  <c r="K38" i="11"/>
  <c r="J38" i="11"/>
  <c r="I38" i="11"/>
  <c r="Q37" i="11"/>
  <c r="P37" i="11"/>
  <c r="O37" i="11"/>
  <c r="N37" i="11"/>
  <c r="M37" i="11"/>
  <c r="L37" i="11"/>
  <c r="K37" i="11"/>
  <c r="J37" i="11"/>
  <c r="I37" i="11"/>
  <c r="Q36" i="11"/>
  <c r="P36" i="11"/>
  <c r="O36" i="11"/>
  <c r="N36" i="11"/>
  <c r="M36" i="11"/>
  <c r="L36" i="11"/>
  <c r="K36" i="11"/>
  <c r="J36" i="11"/>
  <c r="I36" i="11"/>
  <c r="Q32" i="11"/>
  <c r="O32" i="11"/>
  <c r="Q31" i="11"/>
  <c r="O31" i="11"/>
  <c r="Q30" i="11"/>
  <c r="O30" i="11"/>
  <c r="Q29" i="11"/>
  <c r="O29" i="11"/>
  <c r="Q28" i="11"/>
  <c r="O28" i="11"/>
  <c r="Q27" i="11"/>
  <c r="O27" i="11"/>
  <c r="Q26" i="11"/>
  <c r="O26" i="11"/>
  <c r="Q22" i="11"/>
  <c r="P22" i="11"/>
  <c r="N22" i="11"/>
  <c r="M22" i="11"/>
  <c r="L22" i="11"/>
  <c r="K22" i="11"/>
  <c r="J22" i="11"/>
  <c r="I22" i="11"/>
  <c r="Q20" i="11"/>
  <c r="O20" i="11"/>
  <c r="Q19" i="11"/>
  <c r="O19" i="11"/>
  <c r="Q18" i="11"/>
  <c r="O18" i="11"/>
  <c r="Q17" i="11"/>
  <c r="O17" i="11"/>
  <c r="K17" i="11"/>
  <c r="J17" i="11"/>
  <c r="I17" i="11"/>
  <c r="Q16" i="11"/>
  <c r="P16" i="11"/>
  <c r="O16" i="11"/>
  <c r="N16" i="11"/>
  <c r="M16" i="11"/>
  <c r="K16" i="11"/>
  <c r="J16" i="11"/>
  <c r="I16" i="11"/>
  <c r="Q14" i="11"/>
  <c r="O14" i="11"/>
  <c r="Q12" i="11"/>
  <c r="O12" i="11"/>
  <c r="Q11" i="11"/>
  <c r="P11" i="11"/>
  <c r="O11" i="11"/>
  <c r="N11" i="11"/>
  <c r="M11" i="11"/>
  <c r="L11" i="11"/>
  <c r="K11" i="11"/>
  <c r="J11" i="11"/>
  <c r="I11" i="11"/>
  <c r="Q10" i="11"/>
  <c r="O10" i="11"/>
  <c r="Q9" i="11"/>
  <c r="O9" i="11"/>
  <c r="Q8" i="11"/>
  <c r="O8" i="11"/>
  <c r="Q7" i="11"/>
  <c r="O7" i="11"/>
  <c r="O23" i="11" s="1"/>
  <c r="Q43" i="4"/>
  <c r="Q42" i="4"/>
  <c r="Q41" i="4"/>
  <c r="Q40" i="4"/>
  <c r="Q39" i="4"/>
  <c r="Q38" i="4"/>
  <c r="Q37" i="4"/>
  <c r="Q36" i="4"/>
  <c r="Q32" i="4"/>
  <c r="Q31" i="4"/>
  <c r="Q30" i="4"/>
  <c r="Q29" i="4"/>
  <c r="Q28" i="4"/>
  <c r="Q27" i="4"/>
  <c r="Q26" i="4"/>
  <c r="Q20" i="4"/>
  <c r="Q19" i="4"/>
  <c r="Q18" i="4"/>
  <c r="Q17" i="4"/>
  <c r="Q14" i="4"/>
  <c r="Q12" i="4"/>
  <c r="Q11" i="4"/>
  <c r="Q10" i="4"/>
  <c r="Q9" i="4"/>
  <c r="Q8" i="4"/>
  <c r="P43" i="4"/>
  <c r="P42" i="4"/>
  <c r="P41" i="4"/>
  <c r="P40" i="4"/>
  <c r="P39" i="4"/>
  <c r="P38" i="4"/>
  <c r="P37" i="4"/>
  <c r="P36" i="4"/>
  <c r="P11" i="4"/>
  <c r="O43" i="4"/>
  <c r="O42" i="4"/>
  <c r="O41" i="4"/>
  <c r="O40" i="4"/>
  <c r="O39" i="4"/>
  <c r="O38" i="4"/>
  <c r="O37" i="4"/>
  <c r="O36" i="4"/>
  <c r="O32" i="4"/>
  <c r="O31" i="4"/>
  <c r="O30" i="4"/>
  <c r="O29" i="4"/>
  <c r="O28" i="4"/>
  <c r="O27" i="4"/>
  <c r="O26" i="4"/>
  <c r="O20" i="4"/>
  <c r="O19" i="4"/>
  <c r="O18" i="4"/>
  <c r="O17" i="4"/>
  <c r="O14" i="4"/>
  <c r="O12" i="4"/>
  <c r="O11" i="4"/>
  <c r="O10" i="4"/>
  <c r="O9" i="4"/>
  <c r="O8" i="4"/>
  <c r="N42" i="4"/>
  <c r="N41" i="4"/>
  <c r="N40" i="4"/>
  <c r="N39" i="4"/>
  <c r="N38" i="4"/>
  <c r="N37" i="4"/>
  <c r="N36" i="4"/>
  <c r="N43" i="4"/>
  <c r="N11" i="4"/>
  <c r="Q7" i="4"/>
  <c r="O7" i="4"/>
  <c r="Q22" i="4"/>
  <c r="N22" i="4"/>
  <c r="P22" i="4"/>
  <c r="M42" i="4"/>
  <c r="M41" i="4"/>
  <c r="M40" i="4"/>
  <c r="V40" i="4" s="1"/>
  <c r="M39" i="4"/>
  <c r="M38" i="4"/>
  <c r="M37" i="4"/>
  <c r="M36" i="4"/>
  <c r="L42" i="4"/>
  <c r="L41" i="4"/>
  <c r="L40" i="4"/>
  <c r="L39" i="4"/>
  <c r="L38" i="4"/>
  <c r="L37" i="4"/>
  <c r="L36" i="4"/>
  <c r="K43" i="4"/>
  <c r="K42" i="4"/>
  <c r="K41" i="4"/>
  <c r="K40" i="4"/>
  <c r="K39" i="4"/>
  <c r="K38" i="4"/>
  <c r="K37" i="4"/>
  <c r="K36" i="4"/>
  <c r="K22" i="4"/>
  <c r="K17" i="4"/>
  <c r="K16" i="4"/>
  <c r="K11" i="4"/>
  <c r="M11" i="4"/>
  <c r="L11" i="4"/>
  <c r="J43" i="4"/>
  <c r="J42" i="4"/>
  <c r="J41" i="4"/>
  <c r="J40" i="4"/>
  <c r="J39" i="4"/>
  <c r="J38" i="4"/>
  <c r="J37" i="4"/>
  <c r="J36" i="4"/>
  <c r="J22" i="4"/>
  <c r="J17" i="4"/>
  <c r="J16" i="4"/>
  <c r="J11" i="4"/>
  <c r="I11" i="4"/>
  <c r="I22" i="4"/>
  <c r="I43" i="4"/>
  <c r="I41" i="4"/>
  <c r="I40" i="4"/>
  <c r="R40" i="4" s="1"/>
  <c r="I39" i="4"/>
  <c r="I38" i="4"/>
  <c r="I37" i="4"/>
  <c r="I36" i="4"/>
  <c r="I42" i="4"/>
  <c r="R42" i="4" s="1"/>
  <c r="B25" i="13"/>
  <c r="B25" i="14"/>
  <c r="B25" i="16"/>
  <c r="B25" i="15"/>
  <c r="B25" i="17"/>
  <c r="B25" i="18"/>
  <c r="B25" i="19"/>
  <c r="B25" i="12"/>
  <c r="B25" i="11"/>
  <c r="I17" i="4"/>
  <c r="I16" i="4"/>
  <c r="Q23" i="12" l="1"/>
  <c r="O23" i="13"/>
  <c r="Q23" i="13"/>
  <c r="O23" i="14"/>
  <c r="Q23" i="11"/>
  <c r="O23" i="12"/>
  <c r="Q23" i="14"/>
  <c r="O23" i="17"/>
  <c r="Q23" i="19"/>
  <c r="O23" i="16"/>
  <c r="Q23" i="17"/>
  <c r="O23" i="18"/>
  <c r="Q23" i="16"/>
  <c r="O23" i="15"/>
  <c r="Q23" i="18"/>
  <c r="O23" i="19"/>
  <c r="A23" i="11"/>
  <c r="A23" i="12" s="1"/>
  <c r="A23" i="13" s="1"/>
  <c r="A23" i="14" s="1"/>
  <c r="A23" i="16" s="1"/>
  <c r="A23" i="15" s="1"/>
  <c r="A23" i="17" s="1"/>
  <c r="A23" i="18" s="1"/>
  <c r="A23" i="19" s="1"/>
  <c r="C20" i="3" l="1"/>
  <c r="C18" i="3"/>
  <c r="C17" i="3"/>
  <c r="I28" i="19" l="1"/>
  <c r="I14" i="19"/>
  <c r="I31" i="18"/>
  <c r="I8" i="18"/>
  <c r="I26" i="17"/>
  <c r="I29" i="15"/>
  <c r="I32" i="16"/>
  <c r="I27" i="19"/>
  <c r="I30" i="18"/>
  <c r="I7" i="18"/>
  <c r="I10" i="17"/>
  <c r="I28" i="15"/>
  <c r="I14" i="15"/>
  <c r="I31" i="16"/>
  <c r="I8" i="16"/>
  <c r="I26" i="14"/>
  <c r="I26" i="19"/>
  <c r="I29" i="18"/>
  <c r="I32" i="17"/>
  <c r="I9" i="17"/>
  <c r="I27" i="15"/>
  <c r="I30" i="16"/>
  <c r="I7" i="16"/>
  <c r="I10" i="19"/>
  <c r="I28" i="18"/>
  <c r="I14" i="18"/>
  <c r="I31" i="17"/>
  <c r="I8" i="17"/>
  <c r="I26" i="15"/>
  <c r="I29" i="16"/>
  <c r="I32" i="14"/>
  <c r="I32" i="19"/>
  <c r="I9" i="19"/>
  <c r="I27" i="18"/>
  <c r="I30" i="17"/>
  <c r="I7" i="17"/>
  <c r="I10" i="15"/>
  <c r="I28" i="16"/>
  <c r="I14" i="16"/>
  <c r="I31" i="14"/>
  <c r="I30" i="19"/>
  <c r="I7" i="19"/>
  <c r="I10" i="18"/>
  <c r="I28" i="17"/>
  <c r="I14" i="17"/>
  <c r="I31" i="15"/>
  <c r="I8" i="15"/>
  <c r="I26" i="16"/>
  <c r="I29" i="14"/>
  <c r="I7" i="14"/>
  <c r="I10" i="13"/>
  <c r="I28" i="12"/>
  <c r="I14" i="12"/>
  <c r="I31" i="11"/>
  <c r="I8" i="11"/>
  <c r="I27" i="14"/>
  <c r="I32" i="13"/>
  <c r="I9" i="13"/>
  <c r="I27" i="12"/>
  <c r="I30" i="11"/>
  <c r="I7" i="11"/>
  <c r="I14" i="14"/>
  <c r="I31" i="13"/>
  <c r="I8" i="13"/>
  <c r="I26" i="12"/>
  <c r="I29" i="11"/>
  <c r="I26" i="18"/>
  <c r="I27" i="16"/>
  <c r="I30" i="14"/>
  <c r="I30" i="13"/>
  <c r="I7" i="13"/>
  <c r="I10" i="12"/>
  <c r="I28" i="11"/>
  <c r="I29" i="17"/>
  <c r="I27" i="17"/>
  <c r="I9" i="16"/>
  <c r="I28" i="14"/>
  <c r="I29" i="13"/>
  <c r="I32" i="12"/>
  <c r="I9" i="12"/>
  <c r="I27" i="11"/>
  <c r="I8" i="19"/>
  <c r="I32" i="18"/>
  <c r="I32" i="15"/>
  <c r="I30" i="15"/>
  <c r="I9" i="15"/>
  <c r="I7" i="15"/>
  <c r="I10" i="14"/>
  <c r="I28" i="13"/>
  <c r="I14" i="13"/>
  <c r="I31" i="12"/>
  <c r="I8" i="12"/>
  <c r="I26" i="11"/>
  <c r="I31" i="19"/>
  <c r="I29" i="19"/>
  <c r="I9" i="18"/>
  <c r="I9" i="14"/>
  <c r="I27" i="13"/>
  <c r="I30" i="12"/>
  <c r="I7" i="12"/>
  <c r="I10" i="11"/>
  <c r="I32" i="4"/>
  <c r="I31" i="4"/>
  <c r="I14" i="4"/>
  <c r="I10" i="16"/>
  <c r="I26" i="13"/>
  <c r="I32" i="11"/>
  <c r="I30" i="4"/>
  <c r="I29" i="4"/>
  <c r="I8" i="14"/>
  <c r="I28" i="4"/>
  <c r="I14" i="11"/>
  <c r="I27" i="4"/>
  <c r="I9" i="11"/>
  <c r="I29" i="12"/>
  <c r="I26" i="4"/>
  <c r="I12" i="19"/>
  <c r="I12" i="15"/>
  <c r="I12" i="18"/>
  <c r="I12" i="16"/>
  <c r="I12" i="12"/>
  <c r="I12" i="17"/>
  <c r="I12" i="14"/>
  <c r="I12" i="11"/>
  <c r="I12" i="13"/>
  <c r="Z43" i="19"/>
  <c r="Y43" i="19"/>
  <c r="X43" i="19"/>
  <c r="W43" i="19"/>
  <c r="V43" i="19"/>
  <c r="U43" i="19"/>
  <c r="T43" i="19"/>
  <c r="S43" i="19"/>
  <c r="R43" i="19"/>
  <c r="Z42" i="19"/>
  <c r="Y42" i="19"/>
  <c r="X42" i="19"/>
  <c r="W42" i="19"/>
  <c r="V42" i="19"/>
  <c r="U42" i="19"/>
  <c r="T42" i="19"/>
  <c r="S42" i="19"/>
  <c r="R42" i="19"/>
  <c r="Z41" i="19"/>
  <c r="Y41" i="19"/>
  <c r="X41" i="19"/>
  <c r="W41" i="19"/>
  <c r="V41" i="19"/>
  <c r="U41" i="19"/>
  <c r="T41" i="19"/>
  <c r="S41" i="19"/>
  <c r="R41" i="19"/>
  <c r="F41" i="19"/>
  <c r="Z40" i="19"/>
  <c r="Y40" i="19"/>
  <c r="X40" i="19"/>
  <c r="W40" i="19"/>
  <c r="V40" i="19"/>
  <c r="U40" i="19"/>
  <c r="T40" i="19"/>
  <c r="S40" i="19"/>
  <c r="R40" i="19"/>
  <c r="F40" i="19"/>
  <c r="Z39" i="19"/>
  <c r="Y39" i="19"/>
  <c r="X39" i="19"/>
  <c r="W39" i="19"/>
  <c r="V39" i="19"/>
  <c r="U39" i="19"/>
  <c r="T39" i="19"/>
  <c r="S39" i="19"/>
  <c r="R39" i="19"/>
  <c r="F39" i="19"/>
  <c r="Z38" i="19"/>
  <c r="Y38" i="19"/>
  <c r="X38" i="19"/>
  <c r="W38" i="19"/>
  <c r="U38" i="19"/>
  <c r="T38" i="19"/>
  <c r="S38" i="19"/>
  <c r="R38" i="19"/>
  <c r="F38" i="19"/>
  <c r="Z37" i="19"/>
  <c r="Y37" i="19"/>
  <c r="X37" i="19"/>
  <c r="W37" i="19"/>
  <c r="V37" i="19"/>
  <c r="U37" i="19"/>
  <c r="T37" i="19"/>
  <c r="S37" i="19"/>
  <c r="R37" i="19"/>
  <c r="F37" i="19"/>
  <c r="Z36" i="19"/>
  <c r="Y36" i="19"/>
  <c r="X36" i="19"/>
  <c r="W36" i="19"/>
  <c r="V36" i="19"/>
  <c r="U36" i="19"/>
  <c r="T36" i="19"/>
  <c r="S36" i="19"/>
  <c r="R36" i="19"/>
  <c r="F36" i="19"/>
  <c r="Z32" i="19"/>
  <c r="X32" i="19"/>
  <c r="R32" i="19"/>
  <c r="Z31" i="19"/>
  <c r="X31" i="19"/>
  <c r="R31" i="19"/>
  <c r="Z30" i="19"/>
  <c r="X30" i="19"/>
  <c r="R30" i="19"/>
  <c r="Z29" i="19"/>
  <c r="X29" i="19"/>
  <c r="R29" i="19"/>
  <c r="Z28" i="19"/>
  <c r="X28" i="19"/>
  <c r="R28" i="19"/>
  <c r="Z27" i="19"/>
  <c r="X27" i="19"/>
  <c r="R27" i="19"/>
  <c r="Y24" i="19"/>
  <c r="W24" i="19"/>
  <c r="V24" i="19"/>
  <c r="U24" i="19"/>
  <c r="R24" i="19"/>
  <c r="X22" i="19"/>
  <c r="Z22" i="19"/>
  <c r="Y22" i="19"/>
  <c r="W22" i="19"/>
  <c r="V22" i="19"/>
  <c r="U22" i="19"/>
  <c r="T22" i="19"/>
  <c r="S22" i="19"/>
  <c r="R22" i="19"/>
  <c r="Z20" i="19"/>
  <c r="X20" i="19"/>
  <c r="Z19" i="19"/>
  <c r="X19" i="19"/>
  <c r="Z18" i="19"/>
  <c r="X18" i="19"/>
  <c r="Z17" i="19"/>
  <c r="X17" i="19"/>
  <c r="T17" i="19"/>
  <c r="S17" i="19"/>
  <c r="R17" i="19"/>
  <c r="Z16" i="19"/>
  <c r="Y16" i="19"/>
  <c r="X16" i="19"/>
  <c r="W16" i="19"/>
  <c r="V16" i="19"/>
  <c r="T16" i="19"/>
  <c r="S16" i="19"/>
  <c r="R16" i="19"/>
  <c r="Z14" i="19"/>
  <c r="X14" i="19"/>
  <c r="R14" i="19"/>
  <c r="Z12" i="19"/>
  <c r="X12" i="19"/>
  <c r="R12" i="19"/>
  <c r="Z11" i="19"/>
  <c r="Y11" i="19"/>
  <c r="W11" i="19"/>
  <c r="V11" i="19"/>
  <c r="U11" i="19"/>
  <c r="T11" i="19"/>
  <c r="S11" i="19"/>
  <c r="R11" i="19"/>
  <c r="Z10" i="19"/>
  <c r="X10" i="19"/>
  <c r="R10" i="19"/>
  <c r="Z9" i="19"/>
  <c r="X9" i="19"/>
  <c r="R9" i="19"/>
  <c r="Z8" i="19"/>
  <c r="X8" i="19"/>
  <c r="R8" i="19"/>
  <c r="Z7" i="19"/>
  <c r="X7" i="19"/>
  <c r="R7" i="19"/>
  <c r="P2" i="19"/>
  <c r="N2" i="19"/>
  <c r="L2" i="19"/>
  <c r="G2" i="19"/>
  <c r="F2" i="19"/>
  <c r="E2" i="19"/>
  <c r="D2" i="19"/>
  <c r="B2" i="19"/>
  <c r="A2" i="19"/>
  <c r="Z43" i="18"/>
  <c r="Y43" i="18"/>
  <c r="X43" i="18"/>
  <c r="W43" i="18"/>
  <c r="V43" i="18"/>
  <c r="U43" i="18"/>
  <c r="T43" i="18"/>
  <c r="S43" i="18"/>
  <c r="R43" i="18"/>
  <c r="Z42" i="18"/>
  <c r="Y42" i="18"/>
  <c r="X42" i="18"/>
  <c r="W42" i="18"/>
  <c r="V42" i="18"/>
  <c r="U42" i="18"/>
  <c r="T42" i="18"/>
  <c r="S42" i="18"/>
  <c r="R42" i="18"/>
  <c r="Z41" i="18"/>
  <c r="Y41" i="18"/>
  <c r="X41" i="18"/>
  <c r="W41" i="18"/>
  <c r="V41" i="18"/>
  <c r="U41" i="18"/>
  <c r="T41" i="18"/>
  <c r="S41" i="18"/>
  <c r="R41" i="18"/>
  <c r="F41" i="18"/>
  <c r="Z40" i="18"/>
  <c r="Y40" i="18"/>
  <c r="X40" i="18"/>
  <c r="W40" i="18"/>
  <c r="V40" i="18"/>
  <c r="U40" i="18"/>
  <c r="T40" i="18"/>
  <c r="S40" i="18"/>
  <c r="R40" i="18"/>
  <c r="F40" i="18"/>
  <c r="Z39" i="18"/>
  <c r="Y39" i="18"/>
  <c r="X39" i="18"/>
  <c r="W39" i="18"/>
  <c r="V39" i="18"/>
  <c r="U39" i="18"/>
  <c r="T39" i="18"/>
  <c r="S39" i="18"/>
  <c r="R39" i="18"/>
  <c r="F39" i="18"/>
  <c r="Z38" i="18"/>
  <c r="Y38" i="18"/>
  <c r="X38" i="18"/>
  <c r="W38" i="18"/>
  <c r="V38" i="18"/>
  <c r="U38" i="18"/>
  <c r="S38" i="18"/>
  <c r="R38" i="18"/>
  <c r="F38" i="18"/>
  <c r="Z37" i="18"/>
  <c r="Y37" i="18"/>
  <c r="X37" i="18"/>
  <c r="W37" i="18"/>
  <c r="V37" i="18"/>
  <c r="U37" i="18"/>
  <c r="T37" i="18"/>
  <c r="S37" i="18"/>
  <c r="R37" i="18"/>
  <c r="F37" i="18"/>
  <c r="Z36" i="18"/>
  <c r="Y36" i="18"/>
  <c r="X36" i="18"/>
  <c r="W36" i="18"/>
  <c r="V36" i="18"/>
  <c r="U36" i="18"/>
  <c r="T36" i="18"/>
  <c r="S36" i="18"/>
  <c r="R36" i="18"/>
  <c r="F36" i="18"/>
  <c r="Z32" i="18"/>
  <c r="X32" i="18"/>
  <c r="R32" i="18"/>
  <c r="Z31" i="18"/>
  <c r="X31" i="18"/>
  <c r="R31" i="18"/>
  <c r="Z30" i="18"/>
  <c r="X30" i="18"/>
  <c r="R30" i="18"/>
  <c r="Z29" i="18"/>
  <c r="X29" i="18"/>
  <c r="R29" i="18"/>
  <c r="Z28" i="18"/>
  <c r="X28" i="18"/>
  <c r="R28" i="18"/>
  <c r="Z27" i="18"/>
  <c r="X27" i="18"/>
  <c r="R27" i="18"/>
  <c r="Y24" i="18"/>
  <c r="W24" i="18"/>
  <c r="V24" i="18"/>
  <c r="U24" i="18"/>
  <c r="R24" i="18"/>
  <c r="X22" i="18"/>
  <c r="Z22" i="18"/>
  <c r="Y22" i="18"/>
  <c r="W22" i="18"/>
  <c r="V22" i="18"/>
  <c r="U22" i="18"/>
  <c r="T22" i="18"/>
  <c r="S22" i="18"/>
  <c r="R22" i="18"/>
  <c r="Z20" i="18"/>
  <c r="X20" i="18"/>
  <c r="Z19" i="18"/>
  <c r="X19" i="18"/>
  <c r="Z18" i="18"/>
  <c r="X18" i="18"/>
  <c r="Z17" i="18"/>
  <c r="X17" i="18"/>
  <c r="T17" i="18"/>
  <c r="S17" i="18"/>
  <c r="R17" i="18"/>
  <c r="Z16" i="18"/>
  <c r="Y16" i="18"/>
  <c r="X16" i="18"/>
  <c r="W16" i="18"/>
  <c r="V16" i="18"/>
  <c r="T16" i="18"/>
  <c r="S16" i="18"/>
  <c r="R16" i="18"/>
  <c r="Z14" i="18"/>
  <c r="X14" i="18"/>
  <c r="R14" i="18"/>
  <c r="Z12" i="18"/>
  <c r="X12" i="18"/>
  <c r="R12" i="18"/>
  <c r="Z11" i="18"/>
  <c r="Y11" i="18"/>
  <c r="X11" i="18"/>
  <c r="W11" i="18"/>
  <c r="V11" i="18"/>
  <c r="U11" i="18"/>
  <c r="T11" i="18"/>
  <c r="S11" i="18"/>
  <c r="R11" i="18"/>
  <c r="Z10" i="18"/>
  <c r="X10" i="18"/>
  <c r="R10" i="18"/>
  <c r="Z9" i="18"/>
  <c r="X9" i="18"/>
  <c r="R9" i="18"/>
  <c r="Z8" i="18"/>
  <c r="X8" i="18"/>
  <c r="R8" i="18"/>
  <c r="Z7" i="18"/>
  <c r="X7" i="18"/>
  <c r="R7" i="18"/>
  <c r="P2" i="18"/>
  <c r="N2" i="18"/>
  <c r="L2" i="18"/>
  <c r="G2" i="18"/>
  <c r="F2" i="18"/>
  <c r="E2" i="18"/>
  <c r="D2" i="18"/>
  <c r="B2" i="18"/>
  <c r="A2" i="18"/>
  <c r="Z43" i="17"/>
  <c r="Y43" i="17"/>
  <c r="X43" i="17"/>
  <c r="W43" i="17"/>
  <c r="V43" i="17"/>
  <c r="U43" i="17"/>
  <c r="T43" i="17"/>
  <c r="S43" i="17"/>
  <c r="R43" i="17"/>
  <c r="Z42" i="17"/>
  <c r="Y42" i="17"/>
  <c r="X42" i="17"/>
  <c r="W42" i="17"/>
  <c r="V42" i="17"/>
  <c r="U42" i="17"/>
  <c r="T42" i="17"/>
  <c r="S42" i="17"/>
  <c r="R42" i="17"/>
  <c r="Z41" i="17"/>
  <c r="Y41" i="17"/>
  <c r="X41" i="17"/>
  <c r="W41" i="17"/>
  <c r="V41" i="17"/>
  <c r="U41" i="17"/>
  <c r="T41" i="17"/>
  <c r="S41" i="17"/>
  <c r="R41" i="17"/>
  <c r="F41" i="17"/>
  <c r="Z40" i="17"/>
  <c r="Y40" i="17"/>
  <c r="X40" i="17"/>
  <c r="W40" i="17"/>
  <c r="V40" i="17"/>
  <c r="U40" i="17"/>
  <c r="T40" i="17"/>
  <c r="S40" i="17"/>
  <c r="R40" i="17"/>
  <c r="F40" i="17"/>
  <c r="Z39" i="17"/>
  <c r="Y39" i="17"/>
  <c r="X39" i="17"/>
  <c r="W39" i="17"/>
  <c r="V39" i="17"/>
  <c r="U39" i="17"/>
  <c r="T39" i="17"/>
  <c r="S39" i="17"/>
  <c r="R39" i="17"/>
  <c r="F39" i="17"/>
  <c r="Z38" i="17"/>
  <c r="Y38" i="17"/>
  <c r="X38" i="17"/>
  <c r="W38" i="17"/>
  <c r="V38" i="17"/>
  <c r="U38" i="17"/>
  <c r="S38" i="17"/>
  <c r="R38" i="17"/>
  <c r="F38" i="17"/>
  <c r="Z37" i="17"/>
  <c r="Y37" i="17"/>
  <c r="X37" i="17"/>
  <c r="W37" i="17"/>
  <c r="V37" i="17"/>
  <c r="U37" i="17"/>
  <c r="T37" i="17"/>
  <c r="S37" i="17"/>
  <c r="R37" i="17"/>
  <c r="F37" i="17"/>
  <c r="V36" i="17"/>
  <c r="Z36" i="17"/>
  <c r="Y36" i="17"/>
  <c r="X36" i="17"/>
  <c r="W36" i="17"/>
  <c r="U36" i="17"/>
  <c r="T36" i="17"/>
  <c r="S36" i="17"/>
  <c r="R36" i="17"/>
  <c r="F36" i="17"/>
  <c r="Z32" i="17"/>
  <c r="X32" i="17"/>
  <c r="R32" i="17"/>
  <c r="Z31" i="17"/>
  <c r="X31" i="17"/>
  <c r="R31" i="17"/>
  <c r="Z30" i="17"/>
  <c r="X30" i="17"/>
  <c r="R30" i="17"/>
  <c r="Z29" i="17"/>
  <c r="X29" i="17"/>
  <c r="R29" i="17"/>
  <c r="Z28" i="17"/>
  <c r="X28" i="17"/>
  <c r="R28" i="17"/>
  <c r="Z27" i="17"/>
  <c r="X27" i="17"/>
  <c r="R27" i="17"/>
  <c r="X26" i="17"/>
  <c r="Y24" i="17"/>
  <c r="W24" i="17"/>
  <c r="V24" i="17"/>
  <c r="U24" i="17"/>
  <c r="R24" i="17"/>
  <c r="X22" i="17"/>
  <c r="Z22" i="17"/>
  <c r="Y22" i="17"/>
  <c r="W22" i="17"/>
  <c r="V22" i="17"/>
  <c r="U22" i="17"/>
  <c r="T22" i="17"/>
  <c r="S22" i="17"/>
  <c r="R22" i="17"/>
  <c r="Z20" i="17"/>
  <c r="X20" i="17"/>
  <c r="Z19" i="17"/>
  <c r="X19" i="17"/>
  <c r="Z18" i="17"/>
  <c r="X18" i="17"/>
  <c r="Z17" i="17"/>
  <c r="X17" i="17"/>
  <c r="T17" i="17"/>
  <c r="S17" i="17"/>
  <c r="R17" i="17"/>
  <c r="Z16" i="17"/>
  <c r="Y16" i="17"/>
  <c r="X16" i="17"/>
  <c r="W16" i="17"/>
  <c r="V16" i="17"/>
  <c r="T16" i="17"/>
  <c r="S16" i="17"/>
  <c r="R16" i="17"/>
  <c r="Z14" i="17"/>
  <c r="X14" i="17"/>
  <c r="R14" i="17"/>
  <c r="Z12" i="17"/>
  <c r="X12" i="17"/>
  <c r="R12" i="17"/>
  <c r="Z11" i="17"/>
  <c r="Y11" i="17"/>
  <c r="X11" i="17"/>
  <c r="W11" i="17"/>
  <c r="U11" i="17"/>
  <c r="T11" i="17"/>
  <c r="S11" i="17"/>
  <c r="R11" i="17"/>
  <c r="Z10" i="17"/>
  <c r="X10" i="17"/>
  <c r="R10" i="17"/>
  <c r="Z9" i="17"/>
  <c r="X9" i="17"/>
  <c r="R9" i="17"/>
  <c r="Z8" i="17"/>
  <c r="X8" i="17"/>
  <c r="R8" i="17"/>
  <c r="X7" i="17"/>
  <c r="R7" i="17"/>
  <c r="P2" i="17"/>
  <c r="N2" i="17"/>
  <c r="L2" i="17"/>
  <c r="G2" i="17"/>
  <c r="F2" i="17"/>
  <c r="E2" i="17"/>
  <c r="D2" i="17"/>
  <c r="B2" i="17"/>
  <c r="A2" i="17"/>
  <c r="Z43" i="15"/>
  <c r="Y43" i="15"/>
  <c r="X43" i="15"/>
  <c r="W43" i="15"/>
  <c r="V43" i="15"/>
  <c r="U43" i="15"/>
  <c r="T43" i="15"/>
  <c r="S43" i="15"/>
  <c r="R43" i="15"/>
  <c r="Z42" i="15"/>
  <c r="Y42" i="15"/>
  <c r="X42" i="15"/>
  <c r="W42" i="15"/>
  <c r="V42" i="15"/>
  <c r="U42" i="15"/>
  <c r="T42" i="15"/>
  <c r="S42" i="15"/>
  <c r="R42" i="15"/>
  <c r="Z41" i="15"/>
  <c r="Y41" i="15"/>
  <c r="X41" i="15"/>
  <c r="W41" i="15"/>
  <c r="V41" i="15"/>
  <c r="U41" i="15"/>
  <c r="T41" i="15"/>
  <c r="S41" i="15"/>
  <c r="R41" i="15"/>
  <c r="F41" i="15"/>
  <c r="Z40" i="15"/>
  <c r="Y40" i="15"/>
  <c r="X40" i="15"/>
  <c r="W40" i="15"/>
  <c r="V40" i="15"/>
  <c r="U40" i="15"/>
  <c r="T40" i="15"/>
  <c r="S40" i="15"/>
  <c r="R40" i="15"/>
  <c r="F40" i="15"/>
  <c r="Z39" i="15"/>
  <c r="Y39" i="15"/>
  <c r="X39" i="15"/>
  <c r="W39" i="15"/>
  <c r="V39" i="15"/>
  <c r="U39" i="15"/>
  <c r="T39" i="15"/>
  <c r="S39" i="15"/>
  <c r="R39" i="15"/>
  <c r="F39" i="15"/>
  <c r="Z38" i="15"/>
  <c r="Y38" i="15"/>
  <c r="X38" i="15"/>
  <c r="W38" i="15"/>
  <c r="U38" i="15"/>
  <c r="T38" i="15"/>
  <c r="S38" i="15"/>
  <c r="R38" i="15"/>
  <c r="F38" i="15"/>
  <c r="Z37" i="15"/>
  <c r="Y37" i="15"/>
  <c r="X37" i="15"/>
  <c r="W37" i="15"/>
  <c r="V37" i="15"/>
  <c r="U37" i="15"/>
  <c r="T37" i="15"/>
  <c r="S37" i="15"/>
  <c r="R37" i="15"/>
  <c r="F37" i="15"/>
  <c r="Z36" i="15"/>
  <c r="Y36" i="15"/>
  <c r="X36" i="15"/>
  <c r="W36" i="15"/>
  <c r="V36" i="15"/>
  <c r="U36" i="15"/>
  <c r="T36" i="15"/>
  <c r="S36" i="15"/>
  <c r="R36" i="15"/>
  <c r="F36" i="15"/>
  <c r="Z32" i="15"/>
  <c r="X32" i="15"/>
  <c r="R32" i="15"/>
  <c r="Z31" i="15"/>
  <c r="X31" i="15"/>
  <c r="R31" i="15"/>
  <c r="Z30" i="15"/>
  <c r="X30" i="15"/>
  <c r="R30" i="15"/>
  <c r="Z29" i="15"/>
  <c r="X29" i="15"/>
  <c r="R29" i="15"/>
  <c r="Z28" i="15"/>
  <c r="X28" i="15"/>
  <c r="R28" i="15"/>
  <c r="Z27" i="15"/>
  <c r="X27" i="15"/>
  <c r="R27" i="15"/>
  <c r="Y24" i="15"/>
  <c r="W24" i="15"/>
  <c r="V24" i="15"/>
  <c r="U24" i="15"/>
  <c r="R24" i="15"/>
  <c r="X22" i="15"/>
  <c r="Z22" i="15"/>
  <c r="Y22" i="15"/>
  <c r="W22" i="15"/>
  <c r="V22" i="15"/>
  <c r="U22" i="15"/>
  <c r="T22" i="15"/>
  <c r="S22" i="15"/>
  <c r="R22" i="15"/>
  <c r="Z20" i="15"/>
  <c r="X20" i="15"/>
  <c r="Z19" i="15"/>
  <c r="X19" i="15"/>
  <c r="Z18" i="15"/>
  <c r="X18" i="15"/>
  <c r="Z17" i="15"/>
  <c r="X17" i="15"/>
  <c r="T17" i="15"/>
  <c r="S17" i="15"/>
  <c r="R17" i="15"/>
  <c r="Z16" i="15"/>
  <c r="Y16" i="15"/>
  <c r="X16" i="15"/>
  <c r="W16" i="15"/>
  <c r="V16" i="15"/>
  <c r="T16" i="15"/>
  <c r="S16" i="15"/>
  <c r="R16" i="15"/>
  <c r="Z14" i="15"/>
  <c r="X14" i="15"/>
  <c r="R14" i="15"/>
  <c r="Z12" i="15"/>
  <c r="X12" i="15"/>
  <c r="R12" i="15"/>
  <c r="Z11" i="15"/>
  <c r="Y11" i="15"/>
  <c r="W11" i="15"/>
  <c r="V11" i="15"/>
  <c r="U11" i="15"/>
  <c r="T11" i="15"/>
  <c r="S11" i="15"/>
  <c r="R11" i="15"/>
  <c r="Z10" i="15"/>
  <c r="X10" i="15"/>
  <c r="R10" i="15"/>
  <c r="Z9" i="15"/>
  <c r="X9" i="15"/>
  <c r="R9" i="15"/>
  <c r="Z8" i="15"/>
  <c r="X8" i="15"/>
  <c r="R8" i="15"/>
  <c r="Z7" i="15"/>
  <c r="X7" i="15"/>
  <c r="R7" i="15"/>
  <c r="P2" i="15"/>
  <c r="N2" i="15"/>
  <c r="L2" i="15"/>
  <c r="G2" i="15"/>
  <c r="F2" i="15"/>
  <c r="E2" i="15"/>
  <c r="D2" i="15"/>
  <c r="B2" i="15"/>
  <c r="A2" i="15"/>
  <c r="Z43" i="16"/>
  <c r="Y43" i="16"/>
  <c r="X43" i="16"/>
  <c r="W43" i="16"/>
  <c r="V43" i="16"/>
  <c r="U43" i="16"/>
  <c r="T43" i="16"/>
  <c r="S43" i="16"/>
  <c r="R43" i="16"/>
  <c r="Z42" i="16"/>
  <c r="Y42" i="16"/>
  <c r="X42" i="16"/>
  <c r="W42" i="16"/>
  <c r="V42" i="16"/>
  <c r="U42" i="16"/>
  <c r="T42" i="16"/>
  <c r="S42" i="16"/>
  <c r="R42" i="16"/>
  <c r="Z41" i="16"/>
  <c r="Y41" i="16"/>
  <c r="X41" i="16"/>
  <c r="W41" i="16"/>
  <c r="V41" i="16"/>
  <c r="U41" i="16"/>
  <c r="T41" i="16"/>
  <c r="S41" i="16"/>
  <c r="R41" i="16"/>
  <c r="F41" i="16"/>
  <c r="Z40" i="16"/>
  <c r="Y40" i="16"/>
  <c r="X40" i="16"/>
  <c r="W40" i="16"/>
  <c r="V40" i="16"/>
  <c r="U40" i="16"/>
  <c r="T40" i="16"/>
  <c r="S40" i="16"/>
  <c r="R40" i="16"/>
  <c r="F40" i="16"/>
  <c r="Z39" i="16"/>
  <c r="Y39" i="16"/>
  <c r="X39" i="16"/>
  <c r="W39" i="16"/>
  <c r="V39" i="16"/>
  <c r="U39" i="16"/>
  <c r="T39" i="16"/>
  <c r="S39" i="16"/>
  <c r="R39" i="16"/>
  <c r="F39" i="16"/>
  <c r="Z38" i="16"/>
  <c r="Y38" i="16"/>
  <c r="X38" i="16"/>
  <c r="W38" i="16"/>
  <c r="V38" i="16"/>
  <c r="U38" i="16"/>
  <c r="S38" i="16"/>
  <c r="R38" i="16"/>
  <c r="F38" i="16"/>
  <c r="Z37" i="16"/>
  <c r="Y37" i="16"/>
  <c r="X37" i="16"/>
  <c r="W37" i="16"/>
  <c r="V37" i="16"/>
  <c r="U37" i="16"/>
  <c r="T37" i="16"/>
  <c r="S37" i="16"/>
  <c r="R37" i="16"/>
  <c r="F37" i="16"/>
  <c r="Z36" i="16"/>
  <c r="Y36" i="16"/>
  <c r="X36" i="16"/>
  <c r="W36" i="16"/>
  <c r="V36" i="16"/>
  <c r="U36" i="16"/>
  <c r="T36" i="16"/>
  <c r="S36" i="16"/>
  <c r="R36" i="16"/>
  <c r="F36" i="16"/>
  <c r="Z32" i="16"/>
  <c r="X32" i="16"/>
  <c r="R32" i="16"/>
  <c r="Z31" i="16"/>
  <c r="X31" i="16"/>
  <c r="R31" i="16"/>
  <c r="Z30" i="16"/>
  <c r="X30" i="16"/>
  <c r="R30" i="16"/>
  <c r="Z29" i="16"/>
  <c r="X29" i="16"/>
  <c r="R29" i="16"/>
  <c r="Z28" i="16"/>
  <c r="X28" i="16"/>
  <c r="R28" i="16"/>
  <c r="Z27" i="16"/>
  <c r="X27" i="16"/>
  <c r="R27" i="16"/>
  <c r="Y24" i="16"/>
  <c r="W24" i="16"/>
  <c r="V24" i="16"/>
  <c r="U24" i="16"/>
  <c r="R24" i="16"/>
  <c r="X22" i="16"/>
  <c r="Z22" i="16"/>
  <c r="Y22" i="16"/>
  <c r="W22" i="16"/>
  <c r="V22" i="16"/>
  <c r="U22" i="16"/>
  <c r="T22" i="16"/>
  <c r="S22" i="16"/>
  <c r="R22" i="16"/>
  <c r="Z20" i="16"/>
  <c r="X20" i="16"/>
  <c r="Z19" i="16"/>
  <c r="X19" i="16"/>
  <c r="Z18" i="16"/>
  <c r="X18" i="16"/>
  <c r="Z17" i="16"/>
  <c r="X17" i="16"/>
  <c r="T17" i="16"/>
  <c r="S17" i="16"/>
  <c r="R17" i="16"/>
  <c r="Z16" i="16"/>
  <c r="Y16" i="16"/>
  <c r="X16" i="16"/>
  <c r="W16" i="16"/>
  <c r="V16" i="16"/>
  <c r="T16" i="16"/>
  <c r="S16" i="16"/>
  <c r="R16" i="16"/>
  <c r="Z14" i="16"/>
  <c r="X14" i="16"/>
  <c r="R14" i="16"/>
  <c r="Z12" i="16"/>
  <c r="X12" i="16"/>
  <c r="R12" i="16"/>
  <c r="Z11" i="16"/>
  <c r="Y11" i="16"/>
  <c r="X11" i="16"/>
  <c r="W11" i="16"/>
  <c r="U11" i="16"/>
  <c r="T11" i="16"/>
  <c r="S11" i="16"/>
  <c r="R11" i="16"/>
  <c r="Z10" i="16"/>
  <c r="X10" i="16"/>
  <c r="R10" i="16"/>
  <c r="Z9" i="16"/>
  <c r="X9" i="16"/>
  <c r="R9" i="16"/>
  <c r="Z8" i="16"/>
  <c r="X8" i="16"/>
  <c r="R8" i="16"/>
  <c r="Z7" i="16"/>
  <c r="X7" i="16"/>
  <c r="R7" i="16"/>
  <c r="P2" i="16"/>
  <c r="N2" i="16"/>
  <c r="L2" i="16"/>
  <c r="G2" i="16"/>
  <c r="F2" i="16"/>
  <c r="E2" i="16"/>
  <c r="D2" i="16"/>
  <c r="B2" i="16"/>
  <c r="A2" i="16"/>
  <c r="Z43" i="14"/>
  <c r="Y43" i="14"/>
  <c r="X43" i="14"/>
  <c r="W43" i="14"/>
  <c r="V43" i="14"/>
  <c r="U43" i="14"/>
  <c r="T43" i="14"/>
  <c r="S43" i="14"/>
  <c r="R43" i="14"/>
  <c r="Z42" i="14"/>
  <c r="Y42" i="14"/>
  <c r="X42" i="14"/>
  <c r="W42" i="14"/>
  <c r="V42" i="14"/>
  <c r="U42" i="14"/>
  <c r="T42" i="14"/>
  <c r="S42" i="14"/>
  <c r="R42" i="14"/>
  <c r="Z41" i="14"/>
  <c r="Y41" i="14"/>
  <c r="X41" i="14"/>
  <c r="W41" i="14"/>
  <c r="V41" i="14"/>
  <c r="U41" i="14"/>
  <c r="T41" i="14"/>
  <c r="S41" i="14"/>
  <c r="R41" i="14"/>
  <c r="F41" i="14"/>
  <c r="Z40" i="14"/>
  <c r="Y40" i="14"/>
  <c r="X40" i="14"/>
  <c r="W40" i="14"/>
  <c r="V40" i="14"/>
  <c r="U40" i="14"/>
  <c r="T40" i="14"/>
  <c r="S40" i="14"/>
  <c r="R40" i="14"/>
  <c r="F40" i="14"/>
  <c r="Z39" i="14"/>
  <c r="Y39" i="14"/>
  <c r="X39" i="14"/>
  <c r="W39" i="14"/>
  <c r="V39" i="14"/>
  <c r="U39" i="14"/>
  <c r="T39" i="14"/>
  <c r="S39" i="14"/>
  <c r="R39" i="14"/>
  <c r="F39" i="14"/>
  <c r="Z38" i="14"/>
  <c r="Y38" i="14"/>
  <c r="X38" i="14"/>
  <c r="W38" i="14"/>
  <c r="V38" i="14"/>
  <c r="U38" i="14"/>
  <c r="R38" i="14"/>
  <c r="F38" i="14"/>
  <c r="Z37" i="14"/>
  <c r="Y37" i="14"/>
  <c r="X37" i="14"/>
  <c r="W37" i="14"/>
  <c r="V37" i="14"/>
  <c r="U37" i="14"/>
  <c r="T37" i="14"/>
  <c r="S37" i="14"/>
  <c r="R37" i="14"/>
  <c r="F37" i="14"/>
  <c r="Z36" i="14"/>
  <c r="Y36" i="14"/>
  <c r="X36" i="14"/>
  <c r="W36" i="14"/>
  <c r="V36" i="14"/>
  <c r="U36" i="14"/>
  <c r="T36" i="14"/>
  <c r="S36" i="14"/>
  <c r="R36" i="14"/>
  <c r="F36" i="14"/>
  <c r="Z32" i="14"/>
  <c r="X32" i="14"/>
  <c r="R32" i="14"/>
  <c r="Z31" i="14"/>
  <c r="X31" i="14"/>
  <c r="R31" i="14"/>
  <c r="Z30" i="14"/>
  <c r="X30" i="14"/>
  <c r="R30" i="14"/>
  <c r="Z29" i="14"/>
  <c r="X29" i="14"/>
  <c r="R29" i="14"/>
  <c r="Z28" i="14"/>
  <c r="X28" i="14"/>
  <c r="R28" i="14"/>
  <c r="Z27" i="14"/>
  <c r="X27" i="14"/>
  <c r="R27" i="14"/>
  <c r="Y24" i="14"/>
  <c r="W24" i="14"/>
  <c r="V24" i="14"/>
  <c r="U24" i="14"/>
  <c r="R24" i="14"/>
  <c r="X22" i="14"/>
  <c r="Z22" i="14"/>
  <c r="Y22" i="14"/>
  <c r="W22" i="14"/>
  <c r="V22" i="14"/>
  <c r="U22" i="14"/>
  <c r="T22" i="14"/>
  <c r="S22" i="14"/>
  <c r="R22" i="14"/>
  <c r="Z20" i="14"/>
  <c r="X20" i="14"/>
  <c r="Z19" i="14"/>
  <c r="X19" i="14"/>
  <c r="Z18" i="14"/>
  <c r="X18" i="14"/>
  <c r="Z17" i="14"/>
  <c r="X17" i="14"/>
  <c r="T17" i="14"/>
  <c r="S17" i="14"/>
  <c r="R17" i="14"/>
  <c r="Z16" i="14"/>
  <c r="Y16" i="14"/>
  <c r="X16" i="14"/>
  <c r="W16" i="14"/>
  <c r="V16" i="14"/>
  <c r="T16" i="14"/>
  <c r="S16" i="14"/>
  <c r="R16" i="14"/>
  <c r="Z14" i="14"/>
  <c r="X14" i="14"/>
  <c r="R14" i="14"/>
  <c r="Z12" i="14"/>
  <c r="X12" i="14"/>
  <c r="R12" i="14"/>
  <c r="Z11" i="14"/>
  <c r="Y11" i="14"/>
  <c r="X11" i="14"/>
  <c r="W11" i="14"/>
  <c r="U11" i="14"/>
  <c r="T11" i="14"/>
  <c r="S11" i="14"/>
  <c r="R11" i="14"/>
  <c r="Z10" i="14"/>
  <c r="X10" i="14"/>
  <c r="R10" i="14"/>
  <c r="Z9" i="14"/>
  <c r="X9" i="14"/>
  <c r="R9" i="14"/>
  <c r="Z8" i="14"/>
  <c r="X8" i="14"/>
  <c r="R8" i="14"/>
  <c r="Z7" i="14"/>
  <c r="X7" i="14"/>
  <c r="R7" i="14"/>
  <c r="P2" i="14"/>
  <c r="N2" i="14"/>
  <c r="L2" i="14"/>
  <c r="G2" i="14"/>
  <c r="F2" i="14"/>
  <c r="E2" i="14"/>
  <c r="D2" i="14"/>
  <c r="B2" i="14"/>
  <c r="A2" i="14"/>
  <c r="Z43" i="13"/>
  <c r="Y43" i="13"/>
  <c r="X43" i="13"/>
  <c r="W43" i="13"/>
  <c r="V43" i="13"/>
  <c r="U43" i="13"/>
  <c r="T43" i="13"/>
  <c r="S43" i="13"/>
  <c r="R43" i="13"/>
  <c r="Z42" i="13"/>
  <c r="Y42" i="13"/>
  <c r="X42" i="13"/>
  <c r="W42" i="13"/>
  <c r="V42" i="13"/>
  <c r="U42" i="13"/>
  <c r="T42" i="13"/>
  <c r="S42" i="13"/>
  <c r="R42" i="13"/>
  <c r="Z41" i="13"/>
  <c r="Y41" i="13"/>
  <c r="X41" i="13"/>
  <c r="W41" i="13"/>
  <c r="V41" i="13"/>
  <c r="U41" i="13"/>
  <c r="T41" i="13"/>
  <c r="S41" i="13"/>
  <c r="R41" i="13"/>
  <c r="F41" i="13"/>
  <c r="Z40" i="13"/>
  <c r="Y40" i="13"/>
  <c r="X40" i="13"/>
  <c r="W40" i="13"/>
  <c r="V40" i="13"/>
  <c r="U40" i="13"/>
  <c r="T40" i="13"/>
  <c r="S40" i="13"/>
  <c r="R40" i="13"/>
  <c r="F40" i="13"/>
  <c r="Z39" i="13"/>
  <c r="Y39" i="13"/>
  <c r="X39" i="13"/>
  <c r="W39" i="13"/>
  <c r="V39" i="13"/>
  <c r="U39" i="13"/>
  <c r="T39" i="13"/>
  <c r="S39" i="13"/>
  <c r="R39" i="13"/>
  <c r="F39" i="13"/>
  <c r="Z38" i="13"/>
  <c r="Y38" i="13"/>
  <c r="X38" i="13"/>
  <c r="W38" i="13"/>
  <c r="V38" i="13"/>
  <c r="U38" i="13"/>
  <c r="S38" i="13"/>
  <c r="R38" i="13"/>
  <c r="F38" i="13"/>
  <c r="Z37" i="13"/>
  <c r="Y37" i="13"/>
  <c r="X37" i="13"/>
  <c r="W37" i="13"/>
  <c r="V37" i="13"/>
  <c r="U37" i="13"/>
  <c r="T37" i="13"/>
  <c r="S37" i="13"/>
  <c r="R37" i="13"/>
  <c r="F37" i="13"/>
  <c r="Z36" i="13"/>
  <c r="Y36" i="13"/>
  <c r="X36" i="13"/>
  <c r="W36" i="13"/>
  <c r="V36" i="13"/>
  <c r="U36" i="13"/>
  <c r="T36" i="13"/>
  <c r="S36" i="13"/>
  <c r="R36" i="13"/>
  <c r="F36" i="13"/>
  <c r="Z32" i="13"/>
  <c r="X32" i="13"/>
  <c r="R32" i="13"/>
  <c r="Z31" i="13"/>
  <c r="X31" i="13"/>
  <c r="R31" i="13"/>
  <c r="Z30" i="13"/>
  <c r="X30" i="13"/>
  <c r="R30" i="13"/>
  <c r="Z29" i="13"/>
  <c r="X29" i="13"/>
  <c r="R29" i="13"/>
  <c r="Z28" i="13"/>
  <c r="X28" i="13"/>
  <c r="R28" i="13"/>
  <c r="Z27" i="13"/>
  <c r="X27" i="13"/>
  <c r="R27" i="13"/>
  <c r="X26" i="13"/>
  <c r="Y24" i="13"/>
  <c r="W24" i="13"/>
  <c r="V24" i="13"/>
  <c r="U24" i="13"/>
  <c r="R24" i="13"/>
  <c r="X22" i="13"/>
  <c r="Z22" i="13"/>
  <c r="Y22" i="13"/>
  <c r="W22" i="13"/>
  <c r="V22" i="13"/>
  <c r="U22" i="13"/>
  <c r="T22" i="13"/>
  <c r="S22" i="13"/>
  <c r="R22" i="13"/>
  <c r="Z20" i="13"/>
  <c r="X20" i="13"/>
  <c r="Z19" i="13"/>
  <c r="X19" i="13"/>
  <c r="Z18" i="13"/>
  <c r="X18" i="13"/>
  <c r="Z17" i="13"/>
  <c r="X17" i="13"/>
  <c r="T17" i="13"/>
  <c r="S17" i="13"/>
  <c r="R17" i="13"/>
  <c r="Z16" i="13"/>
  <c r="Y16" i="13"/>
  <c r="X16" i="13"/>
  <c r="W16" i="13"/>
  <c r="V16" i="13"/>
  <c r="T16" i="13"/>
  <c r="S16" i="13"/>
  <c r="R16" i="13"/>
  <c r="Z14" i="13"/>
  <c r="X14" i="13"/>
  <c r="R14" i="13"/>
  <c r="Z12" i="13"/>
  <c r="X12" i="13"/>
  <c r="R12" i="13"/>
  <c r="Z11" i="13"/>
  <c r="Y11" i="13"/>
  <c r="X11" i="13"/>
  <c r="W11" i="13"/>
  <c r="U11" i="13"/>
  <c r="T11" i="13"/>
  <c r="S11" i="13"/>
  <c r="R11" i="13"/>
  <c r="Z10" i="13"/>
  <c r="X10" i="13"/>
  <c r="R10" i="13"/>
  <c r="Z9" i="13"/>
  <c r="X9" i="13"/>
  <c r="R9" i="13"/>
  <c r="Z8" i="13"/>
  <c r="X8" i="13"/>
  <c r="R8" i="13"/>
  <c r="Z7" i="13"/>
  <c r="X7" i="13"/>
  <c r="R7" i="13"/>
  <c r="P2" i="13"/>
  <c r="N2" i="13"/>
  <c r="L2" i="13"/>
  <c r="G2" i="13"/>
  <c r="F2" i="13"/>
  <c r="E2" i="13"/>
  <c r="D2" i="13"/>
  <c r="B2" i="13"/>
  <c r="A2" i="13"/>
  <c r="Z43" i="12"/>
  <c r="Y43" i="12"/>
  <c r="X43" i="12"/>
  <c r="W43" i="12"/>
  <c r="V43" i="12"/>
  <c r="U43" i="12"/>
  <c r="T43" i="12"/>
  <c r="S43" i="12"/>
  <c r="R43" i="12"/>
  <c r="Z42" i="12"/>
  <c r="Y42" i="12"/>
  <c r="X42" i="12"/>
  <c r="W42" i="12"/>
  <c r="V42" i="12"/>
  <c r="U42" i="12"/>
  <c r="T42" i="12"/>
  <c r="S42" i="12"/>
  <c r="R42" i="12"/>
  <c r="Z41" i="12"/>
  <c r="Y41" i="12"/>
  <c r="X41" i="12"/>
  <c r="W41" i="12"/>
  <c r="V41" i="12"/>
  <c r="U41" i="12"/>
  <c r="T41" i="12"/>
  <c r="S41" i="12"/>
  <c r="R41" i="12"/>
  <c r="F41" i="12"/>
  <c r="Z40" i="12"/>
  <c r="Y40" i="12"/>
  <c r="X40" i="12"/>
  <c r="W40" i="12"/>
  <c r="V40" i="12"/>
  <c r="U40" i="12"/>
  <c r="T40" i="12"/>
  <c r="S40" i="12"/>
  <c r="R40" i="12"/>
  <c r="F40" i="12"/>
  <c r="Z39" i="12"/>
  <c r="Y39" i="12"/>
  <c r="X39" i="12"/>
  <c r="W39" i="12"/>
  <c r="V39" i="12"/>
  <c r="U39" i="12"/>
  <c r="T39" i="12"/>
  <c r="S39" i="12"/>
  <c r="R39" i="12"/>
  <c r="F39" i="12"/>
  <c r="Z38" i="12"/>
  <c r="Y38" i="12"/>
  <c r="X38" i="12"/>
  <c r="W38" i="12"/>
  <c r="V38" i="12"/>
  <c r="U38" i="12"/>
  <c r="S38" i="12"/>
  <c r="R38" i="12"/>
  <c r="F38" i="12"/>
  <c r="Z37" i="12"/>
  <c r="Y37" i="12"/>
  <c r="X37" i="12"/>
  <c r="W37" i="12"/>
  <c r="V37" i="12"/>
  <c r="U37" i="12"/>
  <c r="T37" i="12"/>
  <c r="S37" i="12"/>
  <c r="R37" i="12"/>
  <c r="F37" i="12"/>
  <c r="Z36" i="12"/>
  <c r="Y36" i="12"/>
  <c r="X36" i="12"/>
  <c r="W36" i="12"/>
  <c r="V36" i="12"/>
  <c r="U36" i="12"/>
  <c r="T36" i="12"/>
  <c r="S36" i="12"/>
  <c r="R36" i="12"/>
  <c r="F36" i="12"/>
  <c r="Z32" i="12"/>
  <c r="X32" i="12"/>
  <c r="R32" i="12"/>
  <c r="Z31" i="12"/>
  <c r="X31" i="12"/>
  <c r="R31" i="12"/>
  <c r="Z30" i="12"/>
  <c r="X30" i="12"/>
  <c r="R30" i="12"/>
  <c r="Z29" i="12"/>
  <c r="X29" i="12"/>
  <c r="R29" i="12"/>
  <c r="Z28" i="12"/>
  <c r="X28" i="12"/>
  <c r="R28" i="12"/>
  <c r="Z27" i="12"/>
  <c r="X27" i="12"/>
  <c r="R27" i="12"/>
  <c r="Z26" i="12"/>
  <c r="X26" i="12"/>
  <c r="R26" i="12"/>
  <c r="Y24" i="12"/>
  <c r="W24" i="12"/>
  <c r="V24" i="12"/>
  <c r="U24" i="12"/>
  <c r="R24" i="12"/>
  <c r="X22" i="12"/>
  <c r="Z22" i="12"/>
  <c r="Y22" i="12"/>
  <c r="W22" i="12"/>
  <c r="V22" i="12"/>
  <c r="U22" i="12"/>
  <c r="T22" i="12"/>
  <c r="S22" i="12"/>
  <c r="R22" i="12"/>
  <c r="Z20" i="12"/>
  <c r="X20" i="12"/>
  <c r="Z19" i="12"/>
  <c r="X19" i="12"/>
  <c r="Z18" i="12"/>
  <c r="X18" i="12"/>
  <c r="Z17" i="12"/>
  <c r="X17" i="12"/>
  <c r="T17" i="12"/>
  <c r="S17" i="12"/>
  <c r="R17" i="12"/>
  <c r="Z16" i="12"/>
  <c r="Y16" i="12"/>
  <c r="X16" i="12"/>
  <c r="W16" i="12"/>
  <c r="V16" i="12"/>
  <c r="T16" i="12"/>
  <c r="S16" i="12"/>
  <c r="R16" i="12"/>
  <c r="Z14" i="12"/>
  <c r="X14" i="12"/>
  <c r="R14" i="12"/>
  <c r="Z12" i="12"/>
  <c r="X12" i="12"/>
  <c r="R12" i="12"/>
  <c r="Z11" i="12"/>
  <c r="Y11" i="12"/>
  <c r="X11" i="12"/>
  <c r="W11" i="12"/>
  <c r="V11" i="12"/>
  <c r="U11" i="12"/>
  <c r="T11" i="12"/>
  <c r="S11" i="12"/>
  <c r="R11" i="12"/>
  <c r="Z10" i="12"/>
  <c r="X10" i="12"/>
  <c r="R10" i="12"/>
  <c r="Z9" i="12"/>
  <c r="X9" i="12"/>
  <c r="R9" i="12"/>
  <c r="Z8" i="12"/>
  <c r="X8" i="12"/>
  <c r="R8" i="12"/>
  <c r="Z7" i="12"/>
  <c r="X7" i="12"/>
  <c r="R7" i="12"/>
  <c r="P2" i="12"/>
  <c r="N2" i="12"/>
  <c r="L2" i="12"/>
  <c r="G2" i="12"/>
  <c r="F2" i="12"/>
  <c r="E2" i="12"/>
  <c r="D2" i="12"/>
  <c r="B2" i="12"/>
  <c r="A2" i="12"/>
  <c r="Z43" i="11"/>
  <c r="Y43" i="11"/>
  <c r="X43" i="11"/>
  <c r="W43" i="11"/>
  <c r="V43" i="11"/>
  <c r="U43" i="11"/>
  <c r="T43" i="11"/>
  <c r="S43" i="11"/>
  <c r="R43" i="11"/>
  <c r="Z42" i="11"/>
  <c r="Y42" i="11"/>
  <c r="X42" i="11"/>
  <c r="W42" i="11"/>
  <c r="V42" i="11"/>
  <c r="U42" i="11"/>
  <c r="T42" i="11"/>
  <c r="S42" i="11"/>
  <c r="R42" i="11"/>
  <c r="Z41" i="11"/>
  <c r="Y41" i="11"/>
  <c r="X41" i="11"/>
  <c r="W41" i="11"/>
  <c r="V41" i="11"/>
  <c r="U41" i="11"/>
  <c r="T41" i="11"/>
  <c r="S41" i="11"/>
  <c r="R41" i="11"/>
  <c r="F41" i="11"/>
  <c r="Z40" i="11"/>
  <c r="Y40" i="11"/>
  <c r="X40" i="11"/>
  <c r="W40" i="11"/>
  <c r="V40" i="11"/>
  <c r="U40" i="11"/>
  <c r="T40" i="11"/>
  <c r="S40" i="11"/>
  <c r="R40" i="11"/>
  <c r="F40" i="11"/>
  <c r="Z39" i="11"/>
  <c r="Y39" i="11"/>
  <c r="X39" i="11"/>
  <c r="W39" i="11"/>
  <c r="V39" i="11"/>
  <c r="U39" i="11"/>
  <c r="T39" i="11"/>
  <c r="S39" i="11"/>
  <c r="R39" i="11"/>
  <c r="F39" i="11"/>
  <c r="Z38" i="11"/>
  <c r="Y38" i="11"/>
  <c r="X38" i="11"/>
  <c r="W38" i="11"/>
  <c r="V38" i="11"/>
  <c r="U38" i="11"/>
  <c r="T38" i="11"/>
  <c r="S38" i="11"/>
  <c r="R38" i="11"/>
  <c r="F38" i="11"/>
  <c r="Z37" i="11"/>
  <c r="Y37" i="11"/>
  <c r="X37" i="11"/>
  <c r="W37" i="11"/>
  <c r="V37" i="11"/>
  <c r="U37" i="11"/>
  <c r="T37" i="11"/>
  <c r="S37" i="11"/>
  <c r="R37" i="11"/>
  <c r="F37" i="11"/>
  <c r="Z36" i="11"/>
  <c r="Y36" i="11"/>
  <c r="X36" i="11"/>
  <c r="W36" i="11"/>
  <c r="V36" i="11"/>
  <c r="U36" i="11"/>
  <c r="T36" i="11"/>
  <c r="S36" i="11"/>
  <c r="R36" i="11"/>
  <c r="F36" i="11"/>
  <c r="Z32" i="11"/>
  <c r="X32" i="11"/>
  <c r="R32" i="11"/>
  <c r="Z31" i="11"/>
  <c r="X31" i="11"/>
  <c r="R31" i="11"/>
  <c r="Z30" i="11"/>
  <c r="X30" i="11"/>
  <c r="R30" i="11"/>
  <c r="Z29" i="11"/>
  <c r="X29" i="11"/>
  <c r="R29" i="11"/>
  <c r="Z28" i="11"/>
  <c r="X28" i="11"/>
  <c r="R28" i="11"/>
  <c r="Z27" i="11"/>
  <c r="X27" i="11"/>
  <c r="R27" i="11"/>
  <c r="X26" i="11"/>
  <c r="Y24" i="11"/>
  <c r="W24" i="11"/>
  <c r="V24" i="11"/>
  <c r="U24" i="11"/>
  <c r="R24" i="11"/>
  <c r="X22" i="11"/>
  <c r="Z22" i="11"/>
  <c r="Y22" i="11"/>
  <c r="W22" i="11"/>
  <c r="V22" i="11"/>
  <c r="U22" i="11"/>
  <c r="T22" i="11"/>
  <c r="S22" i="11"/>
  <c r="R22" i="11"/>
  <c r="Z20" i="11"/>
  <c r="X20" i="11"/>
  <c r="Z19" i="11"/>
  <c r="X19" i="11"/>
  <c r="Z18" i="11"/>
  <c r="X18" i="11"/>
  <c r="Z17" i="11"/>
  <c r="X17" i="11"/>
  <c r="T17" i="11"/>
  <c r="S17" i="11"/>
  <c r="R17" i="11"/>
  <c r="Z16" i="11"/>
  <c r="Y16" i="11"/>
  <c r="X16" i="11"/>
  <c r="W16" i="11"/>
  <c r="V16" i="11"/>
  <c r="T16" i="11"/>
  <c r="S16" i="11"/>
  <c r="R16" i="11"/>
  <c r="Z14" i="11"/>
  <c r="X14" i="11"/>
  <c r="R14" i="11"/>
  <c r="Z12" i="11"/>
  <c r="X12" i="11"/>
  <c r="R12" i="11"/>
  <c r="Z11" i="11"/>
  <c r="Y11" i="11"/>
  <c r="X11" i="11"/>
  <c r="W11" i="11"/>
  <c r="V11" i="11"/>
  <c r="U11" i="11"/>
  <c r="T11" i="11"/>
  <c r="S11" i="11"/>
  <c r="R11" i="11"/>
  <c r="Z10" i="11"/>
  <c r="X10" i="11"/>
  <c r="R10" i="11"/>
  <c r="Z9" i="11"/>
  <c r="X9" i="11"/>
  <c r="R9" i="11"/>
  <c r="Z8" i="11"/>
  <c r="X8" i="11"/>
  <c r="R8" i="11"/>
  <c r="Z7" i="11"/>
  <c r="X7" i="11"/>
  <c r="R7" i="11"/>
  <c r="P2" i="11"/>
  <c r="N2" i="11"/>
  <c r="L2" i="11"/>
  <c r="G2" i="11"/>
  <c r="F2" i="11"/>
  <c r="E2" i="11"/>
  <c r="D2" i="11"/>
  <c r="B2" i="11"/>
  <c r="A2" i="11"/>
  <c r="O44" i="19" l="1"/>
  <c r="O44" i="14"/>
  <c r="O44" i="15"/>
  <c r="I44" i="13"/>
  <c r="Q44" i="13"/>
  <c r="O44" i="12"/>
  <c r="X44" i="13"/>
  <c r="I44" i="14"/>
  <c r="Q44" i="14"/>
  <c r="Q44" i="12"/>
  <c r="O44" i="11"/>
  <c r="I44" i="16"/>
  <c r="Q44" i="16"/>
  <c r="I44" i="12"/>
  <c r="X44" i="12"/>
  <c r="O44" i="13"/>
  <c r="I44" i="11"/>
  <c r="Q44" i="11"/>
  <c r="S38" i="14"/>
  <c r="X26" i="15"/>
  <c r="X44" i="15" s="1"/>
  <c r="O44" i="16"/>
  <c r="I44" i="15"/>
  <c r="Q44" i="15"/>
  <c r="Z7" i="17"/>
  <c r="I44" i="17"/>
  <c r="Q44" i="17"/>
  <c r="O44" i="18"/>
  <c r="X44" i="17"/>
  <c r="I44" i="18"/>
  <c r="Q44" i="18"/>
  <c r="O44" i="17"/>
  <c r="X26" i="18"/>
  <c r="X44" i="18" s="1"/>
  <c r="I44" i="19"/>
  <c r="Q44" i="19"/>
  <c r="X11" i="19"/>
  <c r="V38" i="19"/>
  <c r="X26" i="19"/>
  <c r="X44" i="19" s="1"/>
  <c r="R26" i="19"/>
  <c r="R44" i="19" s="1"/>
  <c r="Z26" i="19"/>
  <c r="Z44" i="19" s="1"/>
  <c r="T38" i="18"/>
  <c r="R26" i="18"/>
  <c r="R44" i="18" s="1"/>
  <c r="Z26" i="18"/>
  <c r="Z44" i="18" s="1"/>
  <c r="V11" i="17"/>
  <c r="T38" i="17"/>
  <c r="R26" i="17"/>
  <c r="R44" i="17" s="1"/>
  <c r="Z26" i="17"/>
  <c r="Z44" i="17" s="1"/>
  <c r="X11" i="15"/>
  <c r="V38" i="15"/>
  <c r="R26" i="15"/>
  <c r="R44" i="15" s="1"/>
  <c r="Z26" i="15"/>
  <c r="Z44" i="15" s="1"/>
  <c r="V11" i="16"/>
  <c r="T38" i="16"/>
  <c r="X26" i="16"/>
  <c r="X44" i="16" s="1"/>
  <c r="R26" i="16"/>
  <c r="R44" i="16" s="1"/>
  <c r="Z26" i="16"/>
  <c r="Z44" i="16" s="1"/>
  <c r="V11" i="14"/>
  <c r="T38" i="14"/>
  <c r="X26" i="14"/>
  <c r="X44" i="14" s="1"/>
  <c r="R26" i="14"/>
  <c r="R44" i="14" s="1"/>
  <c r="Z26" i="14"/>
  <c r="Z44" i="14" s="1"/>
  <c r="V11" i="13"/>
  <c r="T38" i="13"/>
  <c r="R26" i="13"/>
  <c r="R44" i="13" s="1"/>
  <c r="Z26" i="13"/>
  <c r="Z44" i="13" s="1"/>
  <c r="Z44" i="12"/>
  <c r="R44" i="12"/>
  <c r="T38" i="12"/>
  <c r="X44" i="11"/>
  <c r="R26" i="11"/>
  <c r="R44" i="11" s="1"/>
  <c r="Z26" i="11"/>
  <c r="Z44" i="11" s="1"/>
  <c r="R43" i="4"/>
  <c r="M43" i="4"/>
  <c r="L43" i="4"/>
  <c r="S43" i="4"/>
  <c r="J20" i="3" l="1"/>
  <c r="H20" i="3"/>
  <c r="G20" i="3"/>
  <c r="F20" i="3"/>
  <c r="E20" i="3"/>
  <c r="D20" i="3"/>
  <c r="J18" i="3"/>
  <c r="J17" i="3"/>
  <c r="H18" i="3"/>
  <c r="G18" i="3"/>
  <c r="F18" i="3"/>
  <c r="E18" i="3"/>
  <c r="D18" i="3"/>
  <c r="H17" i="3"/>
  <c r="G17" i="3"/>
  <c r="F17" i="3"/>
  <c r="E17" i="3"/>
  <c r="D17" i="3"/>
  <c r="M32" i="19" l="1"/>
  <c r="M9" i="19"/>
  <c r="M27" i="18"/>
  <c r="M30" i="17"/>
  <c r="M7" i="17"/>
  <c r="M10" i="15"/>
  <c r="M28" i="16"/>
  <c r="M14" i="16"/>
  <c r="M31" i="19"/>
  <c r="M8" i="19"/>
  <c r="M26" i="18"/>
  <c r="M29" i="17"/>
  <c r="M32" i="15"/>
  <c r="M9" i="15"/>
  <c r="M27" i="16"/>
  <c r="M30" i="14"/>
  <c r="M30" i="19"/>
  <c r="M7" i="19"/>
  <c r="M10" i="18"/>
  <c r="M28" i="17"/>
  <c r="M14" i="17"/>
  <c r="M31" i="15"/>
  <c r="M8" i="15"/>
  <c r="M26" i="16"/>
  <c r="M29" i="14"/>
  <c r="M29" i="19"/>
  <c r="M32" i="18"/>
  <c r="M9" i="18"/>
  <c r="M27" i="17"/>
  <c r="M30" i="15"/>
  <c r="M7" i="15"/>
  <c r="M10" i="16"/>
  <c r="M28" i="14"/>
  <c r="M28" i="19"/>
  <c r="M14" i="19"/>
  <c r="M31" i="18"/>
  <c r="M8" i="18"/>
  <c r="M26" i="17"/>
  <c r="M29" i="15"/>
  <c r="M32" i="16"/>
  <c r="M9" i="16"/>
  <c r="M27" i="14"/>
  <c r="M26" i="19"/>
  <c r="M29" i="18"/>
  <c r="M32" i="17"/>
  <c r="M9" i="17"/>
  <c r="M27" i="15"/>
  <c r="M30" i="16"/>
  <c r="M7" i="16"/>
  <c r="M14" i="15"/>
  <c r="M29" i="13"/>
  <c r="M32" i="12"/>
  <c r="M9" i="12"/>
  <c r="M27" i="11"/>
  <c r="M14" i="18"/>
  <c r="M32" i="14"/>
  <c r="M10" i="14"/>
  <c r="M28" i="13"/>
  <c r="M14" i="13"/>
  <c r="M31" i="12"/>
  <c r="M8" i="12"/>
  <c r="M26" i="11"/>
  <c r="M9" i="14"/>
  <c r="M27" i="13"/>
  <c r="M30" i="12"/>
  <c r="M7" i="12"/>
  <c r="M8" i="14"/>
  <c r="M26" i="13"/>
  <c r="M29" i="12"/>
  <c r="M32" i="11"/>
  <c r="M30" i="18"/>
  <c r="M28" i="18"/>
  <c r="M28" i="15"/>
  <c r="M26" i="15"/>
  <c r="M31" i="16"/>
  <c r="M29" i="16"/>
  <c r="M26" i="14"/>
  <c r="M7" i="14"/>
  <c r="M10" i="13"/>
  <c r="M28" i="12"/>
  <c r="M14" i="12"/>
  <c r="M31" i="11"/>
  <c r="M8" i="11"/>
  <c r="M27" i="19"/>
  <c r="M7" i="18"/>
  <c r="M31" i="17"/>
  <c r="M32" i="13"/>
  <c r="M9" i="13"/>
  <c r="M27" i="12"/>
  <c r="M30" i="11"/>
  <c r="M10" i="19"/>
  <c r="M10" i="17"/>
  <c r="M8" i="17"/>
  <c r="M14" i="14"/>
  <c r="M31" i="13"/>
  <c r="M8" i="13"/>
  <c r="M26" i="12"/>
  <c r="M29" i="11"/>
  <c r="M7" i="11"/>
  <c r="M30" i="13"/>
  <c r="M10" i="12"/>
  <c r="M10" i="11"/>
  <c r="M14" i="11"/>
  <c r="M31" i="14"/>
  <c r="M7" i="13"/>
  <c r="M8" i="16"/>
  <c r="M9" i="11"/>
  <c r="M28" i="11"/>
  <c r="P12" i="17"/>
  <c r="P12" i="19"/>
  <c r="P12" i="15"/>
  <c r="P12" i="16"/>
  <c r="P12" i="12"/>
  <c r="P12" i="18"/>
  <c r="P12" i="14"/>
  <c r="P12" i="4"/>
  <c r="P12" i="13"/>
  <c r="P12" i="11"/>
  <c r="J12" i="19"/>
  <c r="J12" i="15"/>
  <c r="J12" i="18"/>
  <c r="J12" i="16"/>
  <c r="J12" i="17"/>
  <c r="J12" i="12"/>
  <c r="J12" i="14"/>
  <c r="J12" i="13"/>
  <c r="J12" i="11"/>
  <c r="K12" i="15"/>
  <c r="K12" i="18"/>
  <c r="K12" i="16"/>
  <c r="K12" i="17"/>
  <c r="K12" i="14"/>
  <c r="K12" i="19"/>
  <c r="K12" i="13"/>
  <c r="K12" i="4"/>
  <c r="K12" i="11"/>
  <c r="K12" i="12"/>
  <c r="L12" i="18"/>
  <c r="L12" i="16"/>
  <c r="L12" i="17"/>
  <c r="L12" i="19"/>
  <c r="L12" i="14"/>
  <c r="L12" i="11"/>
  <c r="L12" i="13"/>
  <c r="L12" i="15"/>
  <c r="L12" i="12"/>
  <c r="J27" i="19"/>
  <c r="J30" i="18"/>
  <c r="J7" i="18"/>
  <c r="J10" i="17"/>
  <c r="J28" i="15"/>
  <c r="J14" i="15"/>
  <c r="J31" i="16"/>
  <c r="J26" i="19"/>
  <c r="J29" i="18"/>
  <c r="J32" i="17"/>
  <c r="J9" i="17"/>
  <c r="J27" i="15"/>
  <c r="J30" i="16"/>
  <c r="J7" i="16"/>
  <c r="J10" i="19"/>
  <c r="J28" i="18"/>
  <c r="J14" i="18"/>
  <c r="J31" i="17"/>
  <c r="J8" i="17"/>
  <c r="J26" i="15"/>
  <c r="J29" i="16"/>
  <c r="J32" i="14"/>
  <c r="J32" i="19"/>
  <c r="J9" i="19"/>
  <c r="J27" i="18"/>
  <c r="J30" i="17"/>
  <c r="J7" i="17"/>
  <c r="J10" i="15"/>
  <c r="J28" i="16"/>
  <c r="J14" i="16"/>
  <c r="J31" i="14"/>
  <c r="J31" i="19"/>
  <c r="J8" i="19"/>
  <c r="J26" i="18"/>
  <c r="J29" i="17"/>
  <c r="J32" i="15"/>
  <c r="J9" i="15"/>
  <c r="J27" i="16"/>
  <c r="J30" i="14"/>
  <c r="J29" i="19"/>
  <c r="J32" i="18"/>
  <c r="J9" i="18"/>
  <c r="J27" i="17"/>
  <c r="J30" i="15"/>
  <c r="J7" i="15"/>
  <c r="J10" i="16"/>
  <c r="J28" i="14"/>
  <c r="J28" i="17"/>
  <c r="J26" i="17"/>
  <c r="J27" i="14"/>
  <c r="J32" i="13"/>
  <c r="J9" i="13"/>
  <c r="J27" i="12"/>
  <c r="J30" i="11"/>
  <c r="J7" i="11"/>
  <c r="J7" i="19"/>
  <c r="J31" i="18"/>
  <c r="J31" i="15"/>
  <c r="J29" i="15"/>
  <c r="J8" i="15"/>
  <c r="J32" i="16"/>
  <c r="J8" i="16"/>
  <c r="J14" i="14"/>
  <c r="J31" i="13"/>
  <c r="J8" i="13"/>
  <c r="J26" i="12"/>
  <c r="J29" i="11"/>
  <c r="J30" i="19"/>
  <c r="J28" i="19"/>
  <c r="J10" i="18"/>
  <c r="J8" i="18"/>
  <c r="J30" i="13"/>
  <c r="J7" i="13"/>
  <c r="J10" i="12"/>
  <c r="J28" i="11"/>
  <c r="J9" i="16"/>
  <c r="J29" i="13"/>
  <c r="J32" i="12"/>
  <c r="J9" i="12"/>
  <c r="J27" i="11"/>
  <c r="J10" i="14"/>
  <c r="J28" i="13"/>
  <c r="J14" i="13"/>
  <c r="J31" i="12"/>
  <c r="J8" i="12"/>
  <c r="J26" i="11"/>
  <c r="J9" i="14"/>
  <c r="J27" i="13"/>
  <c r="J30" i="12"/>
  <c r="J7" i="12"/>
  <c r="J14" i="19"/>
  <c r="J14" i="17"/>
  <c r="J26" i="14"/>
  <c r="J8" i="14"/>
  <c r="J26" i="13"/>
  <c r="J29" i="12"/>
  <c r="J32" i="11"/>
  <c r="J9" i="11"/>
  <c r="J27" i="4"/>
  <c r="J29" i="14"/>
  <c r="J14" i="12"/>
  <c r="J31" i="4"/>
  <c r="J28" i="12"/>
  <c r="J10" i="11"/>
  <c r="J30" i="4"/>
  <c r="J26" i="16"/>
  <c r="J10" i="13"/>
  <c r="J29" i="4"/>
  <c r="J28" i="4"/>
  <c r="J14" i="11"/>
  <c r="J14" i="4"/>
  <c r="J8" i="11"/>
  <c r="J26" i="4"/>
  <c r="J31" i="11"/>
  <c r="J32" i="4"/>
  <c r="J7" i="14"/>
  <c r="M12" i="18"/>
  <c r="M12" i="16"/>
  <c r="M12" i="17"/>
  <c r="M12" i="15"/>
  <c r="M12" i="11"/>
  <c r="M12" i="19"/>
  <c r="M12" i="13"/>
  <c r="M12" i="12"/>
  <c r="M12" i="14"/>
  <c r="L10" i="19"/>
  <c r="L28" i="18"/>
  <c r="L14" i="18"/>
  <c r="L31" i="17"/>
  <c r="L8" i="17"/>
  <c r="L26" i="15"/>
  <c r="L29" i="16"/>
  <c r="L32" i="19"/>
  <c r="L9" i="19"/>
  <c r="L27" i="18"/>
  <c r="L30" i="17"/>
  <c r="L7" i="17"/>
  <c r="L10" i="15"/>
  <c r="L28" i="16"/>
  <c r="L14" i="16"/>
  <c r="L31" i="14"/>
  <c r="L31" i="19"/>
  <c r="L8" i="19"/>
  <c r="L26" i="18"/>
  <c r="L29" i="17"/>
  <c r="L32" i="15"/>
  <c r="L9" i="15"/>
  <c r="L27" i="16"/>
  <c r="L30" i="14"/>
  <c r="L30" i="19"/>
  <c r="L7" i="19"/>
  <c r="L10" i="18"/>
  <c r="L28" i="17"/>
  <c r="L14" i="17"/>
  <c r="L31" i="15"/>
  <c r="L8" i="15"/>
  <c r="L26" i="16"/>
  <c r="L29" i="14"/>
  <c r="L29" i="19"/>
  <c r="L32" i="18"/>
  <c r="L9" i="18"/>
  <c r="L27" i="17"/>
  <c r="L30" i="15"/>
  <c r="L7" i="15"/>
  <c r="L10" i="16"/>
  <c r="L28" i="14"/>
  <c r="L27" i="19"/>
  <c r="L30" i="18"/>
  <c r="L7" i="18"/>
  <c r="L10" i="17"/>
  <c r="L28" i="15"/>
  <c r="L14" i="15"/>
  <c r="L31" i="16"/>
  <c r="L8" i="16"/>
  <c r="L26" i="14"/>
  <c r="L31" i="18"/>
  <c r="L29" i="15"/>
  <c r="L32" i="16"/>
  <c r="L30" i="13"/>
  <c r="L7" i="13"/>
  <c r="L10" i="12"/>
  <c r="L28" i="11"/>
  <c r="L14" i="11"/>
  <c r="L28" i="19"/>
  <c r="L29" i="18"/>
  <c r="L8" i="18"/>
  <c r="L27" i="15"/>
  <c r="L30" i="16"/>
  <c r="L29" i="13"/>
  <c r="L32" i="12"/>
  <c r="L9" i="12"/>
  <c r="L27" i="11"/>
  <c r="L26" i="19"/>
  <c r="L32" i="17"/>
  <c r="L9" i="16"/>
  <c r="L32" i="14"/>
  <c r="L10" i="14"/>
  <c r="L28" i="13"/>
  <c r="L14" i="13"/>
  <c r="L31" i="12"/>
  <c r="L8" i="12"/>
  <c r="L26" i="11"/>
  <c r="L9" i="17"/>
  <c r="L9" i="14"/>
  <c r="L27" i="13"/>
  <c r="L30" i="12"/>
  <c r="L7" i="12"/>
  <c r="L8" i="14"/>
  <c r="L26" i="13"/>
  <c r="L29" i="12"/>
  <c r="L32" i="11"/>
  <c r="L9" i="11"/>
  <c r="L14" i="19"/>
  <c r="L7" i="16"/>
  <c r="L7" i="14"/>
  <c r="L10" i="13"/>
  <c r="L28" i="12"/>
  <c r="L14" i="12"/>
  <c r="L31" i="11"/>
  <c r="L32" i="13"/>
  <c r="L9" i="13"/>
  <c r="L27" i="12"/>
  <c r="L30" i="11"/>
  <c r="L7" i="11"/>
  <c r="L8" i="13"/>
  <c r="L10" i="11"/>
  <c r="L26" i="17"/>
  <c r="L14" i="14"/>
  <c r="L26" i="12"/>
  <c r="L29" i="11"/>
  <c r="L8" i="11"/>
  <c r="L31" i="13"/>
  <c r="L27" i="14"/>
  <c r="P29" i="19"/>
  <c r="P32" i="18"/>
  <c r="P9" i="18"/>
  <c r="P27" i="17"/>
  <c r="P30" i="15"/>
  <c r="P7" i="15"/>
  <c r="P28" i="19"/>
  <c r="P14" i="19"/>
  <c r="P31" i="18"/>
  <c r="P8" i="18"/>
  <c r="P26" i="17"/>
  <c r="P29" i="15"/>
  <c r="P32" i="16"/>
  <c r="P9" i="16"/>
  <c r="P27" i="14"/>
  <c r="P27" i="19"/>
  <c r="P30" i="18"/>
  <c r="P7" i="18"/>
  <c r="P10" i="17"/>
  <c r="P28" i="15"/>
  <c r="P14" i="15"/>
  <c r="P31" i="16"/>
  <c r="P8" i="16"/>
  <c r="P26" i="14"/>
  <c r="P26" i="19"/>
  <c r="P29" i="18"/>
  <c r="P32" i="17"/>
  <c r="P9" i="17"/>
  <c r="P27" i="15"/>
  <c r="P30" i="16"/>
  <c r="P7" i="16"/>
  <c r="P10" i="19"/>
  <c r="P28" i="18"/>
  <c r="P14" i="18"/>
  <c r="P31" i="17"/>
  <c r="P8" i="17"/>
  <c r="P26" i="15"/>
  <c r="P29" i="16"/>
  <c r="P32" i="14"/>
  <c r="P31" i="19"/>
  <c r="P8" i="19"/>
  <c r="P26" i="18"/>
  <c r="P29" i="17"/>
  <c r="P32" i="15"/>
  <c r="P9" i="15"/>
  <c r="P27" i="16"/>
  <c r="P30" i="14"/>
  <c r="P30" i="19"/>
  <c r="P9" i="19"/>
  <c r="P10" i="18"/>
  <c r="P7" i="17"/>
  <c r="P10" i="15"/>
  <c r="P8" i="14"/>
  <c r="P26" i="13"/>
  <c r="P29" i="12"/>
  <c r="P32" i="11"/>
  <c r="P9" i="11"/>
  <c r="P27" i="4"/>
  <c r="P32" i="19"/>
  <c r="P28" i="14"/>
  <c r="P7" i="14"/>
  <c r="P10" i="13"/>
  <c r="P28" i="12"/>
  <c r="P14" i="12"/>
  <c r="P31" i="11"/>
  <c r="P8" i="11"/>
  <c r="P26" i="4"/>
  <c r="P10" i="4"/>
  <c r="P32" i="13"/>
  <c r="P9" i="13"/>
  <c r="P27" i="12"/>
  <c r="P30" i="11"/>
  <c r="P14" i="14"/>
  <c r="P31" i="13"/>
  <c r="P8" i="13"/>
  <c r="P26" i="12"/>
  <c r="P29" i="11"/>
  <c r="P14" i="17"/>
  <c r="P14" i="16"/>
  <c r="P10" i="16"/>
  <c r="P31" i="14"/>
  <c r="P30" i="13"/>
  <c r="P7" i="13"/>
  <c r="P10" i="12"/>
  <c r="P28" i="11"/>
  <c r="P14" i="11"/>
  <c r="P31" i="4"/>
  <c r="P26" i="16"/>
  <c r="P29" i="14"/>
  <c r="P29" i="13"/>
  <c r="P32" i="12"/>
  <c r="P9" i="12"/>
  <c r="P27" i="11"/>
  <c r="P27" i="18"/>
  <c r="P28" i="17"/>
  <c r="P28" i="16"/>
  <c r="P10" i="14"/>
  <c r="P28" i="13"/>
  <c r="P14" i="13"/>
  <c r="P31" i="12"/>
  <c r="P8" i="12"/>
  <c r="P26" i="11"/>
  <c r="P29" i="4"/>
  <c r="P14" i="4"/>
  <c r="P8" i="15"/>
  <c r="P30" i="12"/>
  <c r="P7" i="4"/>
  <c r="P32" i="4"/>
  <c r="P9" i="4"/>
  <c r="P30" i="4"/>
  <c r="P8" i="4"/>
  <c r="P30" i="17"/>
  <c r="P10" i="11"/>
  <c r="P28" i="4"/>
  <c r="P7" i="19"/>
  <c r="P31" i="15"/>
  <c r="P27" i="13"/>
  <c r="P7" i="12"/>
  <c r="P7" i="11"/>
  <c r="P9" i="14"/>
  <c r="N31" i="19"/>
  <c r="N8" i="19"/>
  <c r="N26" i="18"/>
  <c r="N29" i="17"/>
  <c r="N32" i="15"/>
  <c r="N9" i="15"/>
  <c r="N27" i="16"/>
  <c r="N30" i="19"/>
  <c r="N7" i="19"/>
  <c r="N10" i="18"/>
  <c r="N28" i="17"/>
  <c r="N14" i="17"/>
  <c r="N31" i="15"/>
  <c r="N8" i="15"/>
  <c r="N26" i="16"/>
  <c r="N29" i="14"/>
  <c r="N29" i="19"/>
  <c r="N32" i="18"/>
  <c r="N9" i="18"/>
  <c r="N27" i="17"/>
  <c r="N30" i="15"/>
  <c r="N7" i="15"/>
  <c r="N10" i="16"/>
  <c r="N28" i="14"/>
  <c r="N28" i="19"/>
  <c r="N14" i="19"/>
  <c r="N31" i="18"/>
  <c r="N8" i="18"/>
  <c r="N26" i="17"/>
  <c r="N29" i="15"/>
  <c r="N32" i="16"/>
  <c r="N9" i="16"/>
  <c r="N27" i="14"/>
  <c r="N27" i="19"/>
  <c r="N30" i="18"/>
  <c r="N7" i="18"/>
  <c r="N10" i="17"/>
  <c r="N28" i="15"/>
  <c r="N14" i="15"/>
  <c r="N31" i="16"/>
  <c r="N8" i="16"/>
  <c r="N26" i="14"/>
  <c r="N10" i="19"/>
  <c r="N28" i="18"/>
  <c r="N14" i="18"/>
  <c r="N31" i="17"/>
  <c r="N8" i="17"/>
  <c r="N26" i="15"/>
  <c r="N29" i="16"/>
  <c r="N32" i="14"/>
  <c r="N29" i="18"/>
  <c r="N27" i="18"/>
  <c r="N27" i="15"/>
  <c r="N30" i="16"/>
  <c r="N28" i="16"/>
  <c r="N10" i="14"/>
  <c r="N28" i="13"/>
  <c r="N14" i="13"/>
  <c r="N31" i="12"/>
  <c r="N8" i="12"/>
  <c r="N26" i="11"/>
  <c r="N32" i="4"/>
  <c r="N14" i="4"/>
  <c r="N26" i="19"/>
  <c r="N32" i="17"/>
  <c r="N30" i="17"/>
  <c r="N9" i="14"/>
  <c r="N27" i="13"/>
  <c r="N30" i="12"/>
  <c r="N7" i="12"/>
  <c r="N10" i="11"/>
  <c r="N9" i="19"/>
  <c r="N9" i="17"/>
  <c r="N7" i="17"/>
  <c r="N10" i="15"/>
  <c r="N30" i="14"/>
  <c r="N8" i="14"/>
  <c r="N26" i="13"/>
  <c r="N29" i="12"/>
  <c r="N32" i="11"/>
  <c r="N32" i="19"/>
  <c r="N7" i="14"/>
  <c r="N10" i="13"/>
  <c r="N28" i="12"/>
  <c r="N14" i="12"/>
  <c r="N31" i="11"/>
  <c r="N7" i="16"/>
  <c r="N32" i="13"/>
  <c r="N9" i="13"/>
  <c r="N27" i="12"/>
  <c r="N30" i="11"/>
  <c r="N7" i="11"/>
  <c r="N14" i="14"/>
  <c r="N31" i="13"/>
  <c r="N8" i="13"/>
  <c r="N26" i="12"/>
  <c r="N29" i="11"/>
  <c r="N14" i="16"/>
  <c r="N31" i="14"/>
  <c r="N30" i="13"/>
  <c r="N7" i="13"/>
  <c r="N10" i="12"/>
  <c r="N28" i="11"/>
  <c r="N14" i="11"/>
  <c r="N26" i="4"/>
  <c r="N30" i="4"/>
  <c r="N9" i="4"/>
  <c r="N27" i="11"/>
  <c r="N29" i="4"/>
  <c r="N8" i="4"/>
  <c r="N27" i="4"/>
  <c r="N31" i="4"/>
  <c r="N29" i="13"/>
  <c r="N9" i="12"/>
  <c r="N8" i="11"/>
  <c r="N28" i="4"/>
  <c r="N10" i="4"/>
  <c r="N9" i="11"/>
  <c r="N7" i="4"/>
  <c r="N32" i="12"/>
  <c r="K26" i="19"/>
  <c r="K29" i="18"/>
  <c r="K32" i="17"/>
  <c r="K9" i="17"/>
  <c r="K27" i="15"/>
  <c r="K30" i="16"/>
  <c r="K10" i="19"/>
  <c r="K28" i="18"/>
  <c r="K14" i="18"/>
  <c r="K31" i="17"/>
  <c r="K8" i="17"/>
  <c r="K26" i="15"/>
  <c r="K29" i="16"/>
  <c r="K32" i="14"/>
  <c r="K32" i="19"/>
  <c r="K9" i="19"/>
  <c r="K27" i="18"/>
  <c r="K30" i="17"/>
  <c r="K7" i="17"/>
  <c r="K10" i="15"/>
  <c r="K28" i="16"/>
  <c r="K14" i="16"/>
  <c r="K31" i="14"/>
  <c r="K31" i="19"/>
  <c r="K8" i="19"/>
  <c r="K26" i="18"/>
  <c r="K29" i="17"/>
  <c r="K32" i="15"/>
  <c r="K9" i="15"/>
  <c r="K27" i="16"/>
  <c r="K30" i="14"/>
  <c r="K30" i="19"/>
  <c r="K7" i="19"/>
  <c r="K10" i="18"/>
  <c r="K28" i="17"/>
  <c r="K14" i="17"/>
  <c r="K31" i="15"/>
  <c r="K8" i="15"/>
  <c r="K26" i="16"/>
  <c r="K29" i="14"/>
  <c r="K28" i="19"/>
  <c r="K14" i="19"/>
  <c r="K31" i="18"/>
  <c r="K8" i="18"/>
  <c r="K26" i="17"/>
  <c r="K29" i="15"/>
  <c r="K32" i="16"/>
  <c r="K9" i="16"/>
  <c r="K27" i="14"/>
  <c r="K8" i="16"/>
  <c r="K14" i="14"/>
  <c r="K31" i="13"/>
  <c r="K8" i="13"/>
  <c r="K26" i="12"/>
  <c r="K29" i="11"/>
  <c r="K27" i="4"/>
  <c r="K14" i="4"/>
  <c r="K14" i="15"/>
  <c r="K30" i="13"/>
  <c r="K7" i="13"/>
  <c r="K10" i="12"/>
  <c r="K28" i="11"/>
  <c r="K14" i="11"/>
  <c r="K29" i="13"/>
  <c r="K32" i="12"/>
  <c r="K9" i="12"/>
  <c r="K27" i="11"/>
  <c r="K27" i="17"/>
  <c r="K28" i="14"/>
  <c r="K10" i="14"/>
  <c r="K28" i="13"/>
  <c r="K14" i="13"/>
  <c r="K31" i="12"/>
  <c r="K8" i="12"/>
  <c r="K26" i="11"/>
  <c r="K32" i="18"/>
  <c r="K30" i="15"/>
  <c r="K7" i="15"/>
  <c r="K9" i="14"/>
  <c r="K27" i="13"/>
  <c r="K30" i="12"/>
  <c r="K7" i="12"/>
  <c r="K10" i="11"/>
  <c r="K29" i="19"/>
  <c r="K30" i="18"/>
  <c r="K9" i="18"/>
  <c r="T9" i="18" s="1"/>
  <c r="K28" i="15"/>
  <c r="K31" i="16"/>
  <c r="K26" i="14"/>
  <c r="K8" i="14"/>
  <c r="K26" i="13"/>
  <c r="K29" i="12"/>
  <c r="K32" i="11"/>
  <c r="K27" i="19"/>
  <c r="T27" i="19" s="1"/>
  <c r="K7" i="18"/>
  <c r="K10" i="16"/>
  <c r="K7" i="16"/>
  <c r="K7" i="14"/>
  <c r="K10" i="13"/>
  <c r="T10" i="13" s="1"/>
  <c r="K28" i="12"/>
  <c r="K14" i="12"/>
  <c r="K31" i="11"/>
  <c r="T31" i="11" s="1"/>
  <c r="K8" i="11"/>
  <c r="K29" i="4"/>
  <c r="K7" i="4"/>
  <c r="K30" i="11"/>
  <c r="K28" i="4"/>
  <c r="K32" i="13"/>
  <c r="K7" i="11"/>
  <c r="K26" i="4"/>
  <c r="K10" i="4"/>
  <c r="K9" i="4"/>
  <c r="K8" i="4"/>
  <c r="K10" i="17"/>
  <c r="K27" i="12"/>
  <c r="T27" i="12" s="1"/>
  <c r="K9" i="13"/>
  <c r="K32" i="4"/>
  <c r="K30" i="4"/>
  <c r="K9" i="11"/>
  <c r="K31" i="4"/>
  <c r="N12" i="16"/>
  <c r="N12" i="17"/>
  <c r="N12" i="19"/>
  <c r="N12" i="13"/>
  <c r="N12" i="15"/>
  <c r="N12" i="12"/>
  <c r="N12" i="18"/>
  <c r="N12" i="14"/>
  <c r="N12" i="11"/>
  <c r="N12" i="4"/>
  <c r="Y30" i="19"/>
  <c r="Y28" i="19"/>
  <c r="Y9" i="18"/>
  <c r="Y10" i="19"/>
  <c r="Y27" i="18"/>
  <c r="Y31" i="19"/>
  <c r="Y14" i="19"/>
  <c r="Y30" i="18"/>
  <c r="Y14" i="18"/>
  <c r="Y27" i="19"/>
  <c r="Y9" i="19"/>
  <c r="Y32" i="18"/>
  <c r="Y32" i="19"/>
  <c r="Y29" i="19"/>
  <c r="Y28" i="18"/>
  <c r="Y30" i="15"/>
  <c r="Y28" i="15"/>
  <c r="Y31" i="18"/>
  <c r="Y14" i="17"/>
  <c r="Y8" i="17"/>
  <c r="Y32" i="15"/>
  <c r="Y29" i="18"/>
  <c r="Y8" i="18"/>
  <c r="Y30" i="17"/>
  <c r="Y10" i="17"/>
  <c r="Y27" i="15"/>
  <c r="Y32" i="17"/>
  <c r="Y28" i="17"/>
  <c r="Y10" i="18"/>
  <c r="Y31" i="15"/>
  <c r="Y29" i="15"/>
  <c r="Y8" i="19"/>
  <c r="Y31" i="17"/>
  <c r="Y29" i="17"/>
  <c r="Y27" i="17"/>
  <c r="Y9" i="17"/>
  <c r="Y30" i="16"/>
  <c r="Y32" i="16"/>
  <c r="Y14" i="15"/>
  <c r="Y8" i="15"/>
  <c r="Y28" i="16"/>
  <c r="Y8" i="16"/>
  <c r="Y10" i="16"/>
  <c r="Y14" i="16"/>
  <c r="Y31" i="14"/>
  <c r="Y29" i="14"/>
  <c r="Y27" i="16"/>
  <c r="Y27" i="14"/>
  <c r="Y9" i="16"/>
  <c r="Y30" i="14"/>
  <c r="Y14" i="14"/>
  <c r="Y32" i="13"/>
  <c r="Y30" i="13"/>
  <c r="Y14" i="13"/>
  <c r="Y8" i="13"/>
  <c r="Y31" i="16"/>
  <c r="Y32" i="14"/>
  <c r="Y8" i="14"/>
  <c r="Y9" i="15"/>
  <c r="Y29" i="16"/>
  <c r="Y9" i="14"/>
  <c r="Y31" i="13"/>
  <c r="Y29" i="13"/>
  <c r="Y27" i="13"/>
  <c r="Y9" i="13"/>
  <c r="Y10" i="15"/>
  <c r="Y10" i="13"/>
  <c r="Y29" i="12"/>
  <c r="Y28" i="12"/>
  <c r="Y28" i="13"/>
  <c r="Y8" i="12"/>
  <c r="Y10" i="14"/>
  <c r="Y31" i="12"/>
  <c r="Y27" i="12"/>
  <c r="Y14" i="12"/>
  <c r="Y28" i="14"/>
  <c r="Y30" i="12"/>
  <c r="Y32" i="11"/>
  <c r="Y28" i="11"/>
  <c r="Y9" i="11"/>
  <c r="Y10" i="12"/>
  <c r="Y27" i="11"/>
  <c r="Y32" i="12"/>
  <c r="Y9" i="12"/>
  <c r="Y8" i="11"/>
  <c r="Y10" i="11"/>
  <c r="Y31" i="11"/>
  <c r="Y30" i="11"/>
  <c r="Y14" i="11"/>
  <c r="Y29" i="11"/>
  <c r="U10" i="18"/>
  <c r="U32" i="19"/>
  <c r="U29" i="19"/>
  <c r="U28" i="18"/>
  <c r="U8" i="19"/>
  <c r="U31" i="18"/>
  <c r="U29" i="18"/>
  <c r="U30" i="19"/>
  <c r="U28" i="19"/>
  <c r="U10" i="19"/>
  <c r="U27" i="18"/>
  <c r="U31" i="19"/>
  <c r="U14" i="19"/>
  <c r="U30" i="18"/>
  <c r="U14" i="18"/>
  <c r="U7" i="18"/>
  <c r="U32" i="17"/>
  <c r="U28" i="17"/>
  <c r="U7" i="17"/>
  <c r="U31" i="15"/>
  <c r="U29" i="15"/>
  <c r="U27" i="19"/>
  <c r="U31" i="17"/>
  <c r="U29" i="17"/>
  <c r="U27" i="17"/>
  <c r="U9" i="17"/>
  <c r="U9" i="19"/>
  <c r="U7" i="19"/>
  <c r="U30" i="15"/>
  <c r="U28" i="15"/>
  <c r="U9" i="18"/>
  <c r="U8" i="18"/>
  <c r="U14" i="17"/>
  <c r="U8" i="17"/>
  <c r="U32" i="15"/>
  <c r="U32" i="18"/>
  <c r="U30" i="17"/>
  <c r="U14" i="16"/>
  <c r="U10" i="15"/>
  <c r="U31" i="16"/>
  <c r="U29" i="16"/>
  <c r="U7" i="15"/>
  <c r="U29" i="14"/>
  <c r="U27" i="15"/>
  <c r="U9" i="15"/>
  <c r="U27" i="16"/>
  <c r="U9" i="16"/>
  <c r="U30" i="16"/>
  <c r="U7" i="16"/>
  <c r="U30" i="14"/>
  <c r="U10" i="17"/>
  <c r="U14" i="15"/>
  <c r="U8" i="15"/>
  <c r="U28" i="16"/>
  <c r="U8" i="16"/>
  <c r="U28" i="14"/>
  <c r="U9" i="14"/>
  <c r="U31" i="13"/>
  <c r="U29" i="13"/>
  <c r="U27" i="13"/>
  <c r="U9" i="13"/>
  <c r="U7" i="13"/>
  <c r="U10" i="16"/>
  <c r="U31" i="14"/>
  <c r="U10" i="14"/>
  <c r="U28" i="13"/>
  <c r="U32" i="14"/>
  <c r="U14" i="14"/>
  <c r="U32" i="13"/>
  <c r="U30" i="13"/>
  <c r="U14" i="13"/>
  <c r="U8" i="13"/>
  <c r="U32" i="16"/>
  <c r="U8" i="14"/>
  <c r="U30" i="12"/>
  <c r="U28" i="11"/>
  <c r="U32" i="12"/>
  <c r="U9" i="12"/>
  <c r="U10" i="13"/>
  <c r="U29" i="12"/>
  <c r="U28" i="12"/>
  <c r="U31" i="12"/>
  <c r="U7" i="14"/>
  <c r="U27" i="12"/>
  <c r="U14" i="11"/>
  <c r="U10" i="11"/>
  <c r="U29" i="11"/>
  <c r="U7" i="11"/>
  <c r="U8" i="11"/>
  <c r="U27" i="14"/>
  <c r="U32" i="11"/>
  <c r="U10" i="12"/>
  <c r="U8" i="12"/>
  <c r="U7" i="12"/>
  <c r="U9" i="11"/>
  <c r="U14" i="12"/>
  <c r="U27" i="11"/>
  <c r="U31" i="11"/>
  <c r="U30" i="11"/>
  <c r="S12" i="19"/>
  <c r="S12" i="18"/>
  <c r="S12" i="17"/>
  <c r="S12" i="16"/>
  <c r="S12" i="15"/>
  <c r="S12" i="14"/>
  <c r="S12" i="13"/>
  <c r="S12" i="12"/>
  <c r="S12" i="11"/>
  <c r="T9" i="19"/>
  <c r="T32" i="18"/>
  <c r="T8" i="18"/>
  <c r="T32" i="19"/>
  <c r="T29" i="19"/>
  <c r="T28" i="18"/>
  <c r="T8" i="19"/>
  <c r="T31" i="18"/>
  <c r="T29" i="18"/>
  <c r="T30" i="19"/>
  <c r="T28" i="19"/>
  <c r="T10" i="19"/>
  <c r="T27" i="18"/>
  <c r="T10" i="18"/>
  <c r="T10" i="17"/>
  <c r="T27" i="15"/>
  <c r="T32" i="17"/>
  <c r="T28" i="17"/>
  <c r="T31" i="15"/>
  <c r="T29" i="15"/>
  <c r="T31" i="19"/>
  <c r="T31" i="17"/>
  <c r="T29" i="17"/>
  <c r="T27" i="17"/>
  <c r="T9" i="17"/>
  <c r="T14" i="19"/>
  <c r="T14" i="18"/>
  <c r="T30" i="15"/>
  <c r="T28" i="15"/>
  <c r="T14" i="17"/>
  <c r="T8" i="17"/>
  <c r="T32" i="15"/>
  <c r="T30" i="17"/>
  <c r="T10" i="16"/>
  <c r="T10" i="15"/>
  <c r="T31" i="16"/>
  <c r="T29" i="16"/>
  <c r="T30" i="18"/>
  <c r="T9" i="15"/>
  <c r="T27" i="16"/>
  <c r="T9" i="16"/>
  <c r="T32" i="16"/>
  <c r="T32" i="14"/>
  <c r="T8" i="14"/>
  <c r="T30" i="16"/>
  <c r="T32" i="12"/>
  <c r="T14" i="15"/>
  <c r="T8" i="16"/>
  <c r="T9" i="14"/>
  <c r="T31" i="13"/>
  <c r="T29" i="13"/>
  <c r="T27" i="13"/>
  <c r="T28" i="16"/>
  <c r="T8" i="15"/>
  <c r="T30" i="14"/>
  <c r="T27" i="14"/>
  <c r="T31" i="14"/>
  <c r="T29" i="14"/>
  <c r="T10" i="14"/>
  <c r="T28" i="13"/>
  <c r="T14" i="16"/>
  <c r="T14" i="14"/>
  <c r="T32" i="13"/>
  <c r="T30" i="13"/>
  <c r="T28" i="14"/>
  <c r="T14" i="12"/>
  <c r="T10" i="12"/>
  <c r="T14" i="13"/>
  <c r="T30" i="12"/>
  <c r="T9" i="13"/>
  <c r="T8" i="12"/>
  <c r="T30" i="11"/>
  <c r="T10" i="11"/>
  <c r="T8" i="11"/>
  <c r="T31" i="12"/>
  <c r="T29" i="12"/>
  <c r="T14" i="11"/>
  <c r="T29" i="11"/>
  <c r="T28" i="12"/>
  <c r="T8" i="13"/>
  <c r="T32" i="11"/>
  <c r="T28" i="11"/>
  <c r="T9" i="12"/>
  <c r="T9" i="11"/>
  <c r="T27" i="11"/>
  <c r="W8" i="19"/>
  <c r="W31" i="18"/>
  <c r="W29" i="18"/>
  <c r="W30" i="19"/>
  <c r="W28" i="19"/>
  <c r="W9" i="18"/>
  <c r="W10" i="19"/>
  <c r="W27" i="18"/>
  <c r="W31" i="19"/>
  <c r="W14" i="19"/>
  <c r="W30" i="18"/>
  <c r="W27" i="19"/>
  <c r="W9" i="19"/>
  <c r="W32" i="18"/>
  <c r="W10" i="18"/>
  <c r="W31" i="17"/>
  <c r="W29" i="17"/>
  <c r="W27" i="17"/>
  <c r="W9" i="17"/>
  <c r="W29" i="19"/>
  <c r="W30" i="15"/>
  <c r="W28" i="15"/>
  <c r="W14" i="18"/>
  <c r="W14" i="17"/>
  <c r="W8" i="17"/>
  <c r="W32" i="15"/>
  <c r="W8" i="18"/>
  <c r="W30" i="17"/>
  <c r="W10" i="17"/>
  <c r="W27" i="15"/>
  <c r="W32" i="19"/>
  <c r="W28" i="18"/>
  <c r="W32" i="17"/>
  <c r="W28" i="17"/>
  <c r="W9" i="15"/>
  <c r="W27" i="16"/>
  <c r="W31" i="15"/>
  <c r="W29" i="15"/>
  <c r="W30" i="16"/>
  <c r="W30" i="14"/>
  <c r="W32" i="16"/>
  <c r="W14" i="15"/>
  <c r="W8" i="15"/>
  <c r="W28" i="16"/>
  <c r="W8" i="16"/>
  <c r="W14" i="16"/>
  <c r="W31" i="14"/>
  <c r="W9" i="14"/>
  <c r="W31" i="13"/>
  <c r="W29" i="13"/>
  <c r="W27" i="13"/>
  <c r="W27" i="14"/>
  <c r="W30" i="12"/>
  <c r="W10" i="14"/>
  <c r="W28" i="13"/>
  <c r="W10" i="16"/>
  <c r="W9" i="16"/>
  <c r="W31" i="16"/>
  <c r="W32" i="14"/>
  <c r="W8" i="14"/>
  <c r="W28" i="14"/>
  <c r="W29" i="16"/>
  <c r="W14" i="13"/>
  <c r="W32" i="12"/>
  <c r="W9" i="12"/>
  <c r="W32" i="11"/>
  <c r="W30" i="11"/>
  <c r="W10" i="15"/>
  <c r="W14" i="14"/>
  <c r="W10" i="13"/>
  <c r="W29" i="12"/>
  <c r="W28" i="12"/>
  <c r="W32" i="13"/>
  <c r="W8" i="12"/>
  <c r="W9" i="13"/>
  <c r="W14" i="12"/>
  <c r="W10" i="12"/>
  <c r="W31" i="11"/>
  <c r="W31" i="12"/>
  <c r="W29" i="11"/>
  <c r="W14" i="11"/>
  <c r="W28" i="11"/>
  <c r="W9" i="11"/>
  <c r="W8" i="11"/>
  <c r="W27" i="12"/>
  <c r="W8" i="13"/>
  <c r="W27" i="11"/>
  <c r="W30" i="13"/>
  <c r="W29" i="14"/>
  <c r="W10" i="11"/>
  <c r="W12" i="19"/>
  <c r="W12" i="18"/>
  <c r="W12" i="17"/>
  <c r="W12" i="16"/>
  <c r="W12" i="15"/>
  <c r="W12" i="14"/>
  <c r="W12" i="13"/>
  <c r="W12" i="12"/>
  <c r="W12" i="11"/>
  <c r="Y12" i="19"/>
  <c r="Y12" i="18"/>
  <c r="Y12" i="17"/>
  <c r="Y12" i="16"/>
  <c r="Y12" i="15"/>
  <c r="Y12" i="14"/>
  <c r="Y12" i="13"/>
  <c r="Y12" i="11"/>
  <c r="Y12" i="12"/>
  <c r="T12" i="19"/>
  <c r="T12" i="17"/>
  <c r="T12" i="15"/>
  <c r="T12" i="18"/>
  <c r="T12" i="16"/>
  <c r="T12" i="14"/>
  <c r="T12" i="13"/>
  <c r="T12" i="12"/>
  <c r="T12" i="11"/>
  <c r="U12" i="19"/>
  <c r="U12" i="18"/>
  <c r="U12" i="17"/>
  <c r="U12" i="15"/>
  <c r="U12" i="16"/>
  <c r="U12" i="13"/>
  <c r="U12" i="12"/>
  <c r="U12" i="14"/>
  <c r="U12" i="11"/>
  <c r="V32" i="19"/>
  <c r="V29" i="19"/>
  <c r="V28" i="18"/>
  <c r="V8" i="19"/>
  <c r="V31" i="18"/>
  <c r="V29" i="18"/>
  <c r="V30" i="19"/>
  <c r="V28" i="19"/>
  <c r="V9" i="18"/>
  <c r="V10" i="19"/>
  <c r="V27" i="18"/>
  <c r="V31" i="19"/>
  <c r="V14" i="19"/>
  <c r="V30" i="18"/>
  <c r="V14" i="18"/>
  <c r="V27" i="19"/>
  <c r="V9" i="19"/>
  <c r="V32" i="18"/>
  <c r="V8" i="18"/>
  <c r="V31" i="15"/>
  <c r="V29" i="15"/>
  <c r="V31" i="17"/>
  <c r="V29" i="17"/>
  <c r="V27" i="17"/>
  <c r="V9" i="17"/>
  <c r="V30" i="15"/>
  <c r="V28" i="15"/>
  <c r="V14" i="17"/>
  <c r="V8" i="17"/>
  <c r="V32" i="15"/>
  <c r="V30" i="17"/>
  <c r="V10" i="17"/>
  <c r="V27" i="15"/>
  <c r="V10" i="18"/>
  <c r="V10" i="15"/>
  <c r="V31" i="16"/>
  <c r="V29" i="16"/>
  <c r="V28" i="17"/>
  <c r="V9" i="15"/>
  <c r="V27" i="16"/>
  <c r="V9" i="16"/>
  <c r="V30" i="16"/>
  <c r="V32" i="16"/>
  <c r="V32" i="14"/>
  <c r="V10" i="16"/>
  <c r="V14" i="15"/>
  <c r="V8" i="16"/>
  <c r="V28" i="16"/>
  <c r="V27" i="14"/>
  <c r="V8" i="15"/>
  <c r="V29" i="14"/>
  <c r="V14" i="14"/>
  <c r="V32" i="13"/>
  <c r="V30" i="13"/>
  <c r="V14" i="16"/>
  <c r="V8" i="14"/>
  <c r="V31" i="12"/>
  <c r="V32" i="17"/>
  <c r="V28" i="14"/>
  <c r="V31" i="13"/>
  <c r="V30" i="12"/>
  <c r="V14" i="13"/>
  <c r="V30" i="14"/>
  <c r="V9" i="14"/>
  <c r="V29" i="13"/>
  <c r="V27" i="13"/>
  <c r="V32" i="12"/>
  <c r="V28" i="13"/>
  <c r="V10" i="13"/>
  <c r="V29" i="12"/>
  <c r="V28" i="12"/>
  <c r="V10" i="14"/>
  <c r="V31" i="14"/>
  <c r="V8" i="13"/>
  <c r="V27" i="12"/>
  <c r="V29" i="11"/>
  <c r="V32" i="11"/>
  <c r="V9" i="11"/>
  <c r="V30" i="11"/>
  <c r="V10" i="12"/>
  <c r="V8" i="12"/>
  <c r="V28" i="11"/>
  <c r="V14" i="12"/>
  <c r="V9" i="12"/>
  <c r="V27" i="11"/>
  <c r="V14" i="11"/>
  <c r="V10" i="11"/>
  <c r="V31" i="11"/>
  <c r="V8" i="11"/>
  <c r="V9" i="13"/>
  <c r="S31" i="19"/>
  <c r="S14" i="19"/>
  <c r="S30" i="18"/>
  <c r="S14" i="18"/>
  <c r="S27" i="19"/>
  <c r="S9" i="19"/>
  <c r="S32" i="18"/>
  <c r="S10" i="18"/>
  <c r="S32" i="19"/>
  <c r="S29" i="19"/>
  <c r="S28" i="18"/>
  <c r="S8" i="19"/>
  <c r="S31" i="18"/>
  <c r="S29" i="18"/>
  <c r="S30" i="19"/>
  <c r="S28" i="19"/>
  <c r="S9" i="18"/>
  <c r="S30" i="17"/>
  <c r="S10" i="17"/>
  <c r="S27" i="15"/>
  <c r="S32" i="17"/>
  <c r="S28" i="17"/>
  <c r="S27" i="18"/>
  <c r="S31" i="15"/>
  <c r="S29" i="15"/>
  <c r="S31" i="17"/>
  <c r="S29" i="17"/>
  <c r="S27" i="17"/>
  <c r="S9" i="17"/>
  <c r="S8" i="18"/>
  <c r="S30" i="15"/>
  <c r="S28" i="15"/>
  <c r="S14" i="15"/>
  <c r="S8" i="15"/>
  <c r="S28" i="16"/>
  <c r="S8" i="16"/>
  <c r="S14" i="16"/>
  <c r="S31" i="14"/>
  <c r="S10" i="19"/>
  <c r="S10" i="15"/>
  <c r="S31" i="16"/>
  <c r="S29" i="16"/>
  <c r="S29" i="14"/>
  <c r="S32" i="15"/>
  <c r="S30" i="16"/>
  <c r="S30" i="14"/>
  <c r="S32" i="16"/>
  <c r="S14" i="14"/>
  <c r="S32" i="13"/>
  <c r="S30" i="13"/>
  <c r="S8" i="17"/>
  <c r="S27" i="16"/>
  <c r="S28" i="14"/>
  <c r="S14" i="17"/>
  <c r="S9" i="16"/>
  <c r="S10" i="16"/>
  <c r="S27" i="14"/>
  <c r="S30" i="12"/>
  <c r="S9" i="15"/>
  <c r="S32" i="14"/>
  <c r="S10" i="14"/>
  <c r="S8" i="14"/>
  <c r="S8" i="13"/>
  <c r="S31" i="12"/>
  <c r="S31" i="13"/>
  <c r="S27" i="12"/>
  <c r="S29" i="11"/>
  <c r="S9" i="14"/>
  <c r="S29" i="13"/>
  <c r="S27" i="13"/>
  <c r="S14" i="13"/>
  <c r="S28" i="13"/>
  <c r="S32" i="12"/>
  <c r="S29" i="12"/>
  <c r="S28" i="12"/>
  <c r="S27" i="11"/>
  <c r="S8" i="11"/>
  <c r="S30" i="11"/>
  <c r="S9" i="11"/>
  <c r="S9" i="13"/>
  <c r="S10" i="13"/>
  <c r="S14" i="11"/>
  <c r="S10" i="11"/>
  <c r="S9" i="12"/>
  <c r="S31" i="11"/>
  <c r="S14" i="12"/>
  <c r="S10" i="12"/>
  <c r="S8" i="12"/>
  <c r="S32" i="11"/>
  <c r="S28" i="11"/>
  <c r="J7" i="4"/>
  <c r="V12" i="18"/>
  <c r="V12" i="19"/>
  <c r="V12" i="17"/>
  <c r="V12" i="16"/>
  <c r="V12" i="14"/>
  <c r="V12" i="15"/>
  <c r="V12" i="12"/>
  <c r="V12" i="13"/>
  <c r="V12" i="11"/>
  <c r="F11" i="3"/>
  <c r="C25" i="3"/>
  <c r="C24" i="3"/>
  <c r="C23" i="3"/>
  <c r="E25" i="3"/>
  <c r="D25" i="3"/>
  <c r="E24" i="3"/>
  <c r="D24" i="3"/>
  <c r="E23" i="3"/>
  <c r="D23" i="3"/>
  <c r="K19" i="17" l="1"/>
  <c r="K19" i="14"/>
  <c r="K19" i="19"/>
  <c r="K19" i="15"/>
  <c r="K19" i="16"/>
  <c r="K19" i="18"/>
  <c r="K19" i="12"/>
  <c r="K19" i="13"/>
  <c r="K19" i="11"/>
  <c r="K19" i="4"/>
  <c r="J20" i="17"/>
  <c r="J20" i="14"/>
  <c r="J20" i="19"/>
  <c r="J20" i="15"/>
  <c r="J20" i="16"/>
  <c r="J20" i="12"/>
  <c r="J20" i="18"/>
  <c r="J20" i="11"/>
  <c r="J20" i="13"/>
  <c r="J20" i="4"/>
  <c r="I18" i="18"/>
  <c r="I18" i="16"/>
  <c r="I18" i="17"/>
  <c r="I18" i="15"/>
  <c r="I18" i="11"/>
  <c r="I18" i="14"/>
  <c r="I18" i="13"/>
  <c r="I18" i="19"/>
  <c r="I18" i="12"/>
  <c r="I18" i="4"/>
  <c r="J19" i="17"/>
  <c r="J23" i="17" s="1"/>
  <c r="J19" i="19"/>
  <c r="J19" i="15"/>
  <c r="J19" i="18"/>
  <c r="J19" i="14"/>
  <c r="J19" i="13"/>
  <c r="J19" i="12"/>
  <c r="J19" i="11"/>
  <c r="J19" i="4"/>
  <c r="J19" i="16"/>
  <c r="J18" i="16"/>
  <c r="J23" i="16" s="1"/>
  <c r="J18" i="17"/>
  <c r="J18" i="19"/>
  <c r="J18" i="14"/>
  <c r="J23" i="14" s="1"/>
  <c r="J18" i="13"/>
  <c r="J18" i="12"/>
  <c r="J23" i="12" s="1"/>
  <c r="J18" i="15"/>
  <c r="J23" i="15" s="1"/>
  <c r="J18" i="4"/>
  <c r="J18" i="18"/>
  <c r="J23" i="18" s="1"/>
  <c r="J18" i="11"/>
  <c r="J23" i="13"/>
  <c r="K20" i="19"/>
  <c r="K20" i="15"/>
  <c r="K20" i="18"/>
  <c r="K20" i="12"/>
  <c r="K20" i="16"/>
  <c r="K20" i="14"/>
  <c r="K20" i="17"/>
  <c r="K20" i="11"/>
  <c r="K20" i="13"/>
  <c r="K20" i="4"/>
  <c r="I19" i="16"/>
  <c r="I19" i="17"/>
  <c r="I19" i="19"/>
  <c r="I19" i="14"/>
  <c r="I19" i="13"/>
  <c r="I19" i="18"/>
  <c r="I19" i="15"/>
  <c r="I19" i="12"/>
  <c r="I19" i="4"/>
  <c r="I19" i="11"/>
  <c r="I20" i="17"/>
  <c r="I20" i="14"/>
  <c r="I20" i="19"/>
  <c r="I20" i="15"/>
  <c r="I20" i="18"/>
  <c r="I20" i="13"/>
  <c r="I20" i="16"/>
  <c r="I20" i="12"/>
  <c r="I20" i="11"/>
  <c r="I20" i="4"/>
  <c r="K18" i="17"/>
  <c r="K23" i="17" s="1"/>
  <c r="K18" i="19"/>
  <c r="T18" i="19" s="1"/>
  <c r="K18" i="15"/>
  <c r="T18" i="15" s="1"/>
  <c r="K18" i="18"/>
  <c r="T18" i="18" s="1"/>
  <c r="K18" i="13"/>
  <c r="K23" i="13" s="1"/>
  <c r="K18" i="16"/>
  <c r="K23" i="16" s="1"/>
  <c r="K18" i="12"/>
  <c r="K23" i="12" s="1"/>
  <c r="K18" i="11"/>
  <c r="K23" i="11" s="1"/>
  <c r="K18" i="14"/>
  <c r="K23" i="14" s="1"/>
  <c r="K18" i="4"/>
  <c r="K23" i="18"/>
  <c r="J23" i="19"/>
  <c r="K23" i="15"/>
  <c r="J23" i="11"/>
  <c r="T18" i="17"/>
  <c r="T18" i="16"/>
  <c r="T18" i="14"/>
  <c r="T18" i="13"/>
  <c r="T18" i="12"/>
  <c r="T18" i="11"/>
  <c r="T7" i="17"/>
  <c r="S19" i="18"/>
  <c r="S19" i="19"/>
  <c r="S19" i="17"/>
  <c r="S19" i="15"/>
  <c r="S19" i="16"/>
  <c r="S19" i="14"/>
  <c r="S19" i="12"/>
  <c r="S19" i="13"/>
  <c r="S19" i="11"/>
  <c r="S7" i="12"/>
  <c r="S7" i="13"/>
  <c r="S7" i="15"/>
  <c r="W7" i="11"/>
  <c r="N44" i="13"/>
  <c r="W26" i="13"/>
  <c r="W44" i="13" s="1"/>
  <c r="N44" i="18"/>
  <c r="W26" i="18"/>
  <c r="W44" i="18" s="1"/>
  <c r="T7" i="11"/>
  <c r="T26" i="12"/>
  <c r="T44" i="12" s="1"/>
  <c r="K44" i="12"/>
  <c r="T7" i="15"/>
  <c r="U26" i="14"/>
  <c r="U44" i="14" s="1"/>
  <c r="L44" i="14"/>
  <c r="Y7" i="12"/>
  <c r="Y7" i="15"/>
  <c r="P44" i="15"/>
  <c r="Y26" i="15"/>
  <c r="Y44" i="15" s="1"/>
  <c r="Y26" i="19"/>
  <c r="Y44" i="19" s="1"/>
  <c r="P44" i="19"/>
  <c r="T26" i="19"/>
  <c r="T44" i="19" s="1"/>
  <c r="K44" i="19"/>
  <c r="T19" i="19"/>
  <c r="T19" i="18"/>
  <c r="T19" i="17"/>
  <c r="T19" i="15"/>
  <c r="T19" i="16"/>
  <c r="T19" i="14"/>
  <c r="T19" i="12"/>
  <c r="T19" i="13"/>
  <c r="T19" i="11"/>
  <c r="S7" i="18"/>
  <c r="J44" i="19"/>
  <c r="S26" i="19"/>
  <c r="S44" i="19" s="1"/>
  <c r="J44" i="18"/>
  <c r="S26" i="18"/>
  <c r="S44" i="18" s="1"/>
  <c r="V7" i="14"/>
  <c r="V26" i="16"/>
  <c r="V44" i="16" s="1"/>
  <c r="M44" i="16"/>
  <c r="V7" i="15"/>
  <c r="W26" i="14"/>
  <c r="W44" i="14" s="1"/>
  <c r="N44" i="14"/>
  <c r="W7" i="14"/>
  <c r="T26" i="17"/>
  <c r="T44" i="17" s="1"/>
  <c r="K44" i="17"/>
  <c r="L44" i="19"/>
  <c r="U26" i="19"/>
  <c r="U44" i="19" s="1"/>
  <c r="U26" i="18"/>
  <c r="U44" i="18" s="1"/>
  <c r="L44" i="18"/>
  <c r="P44" i="12"/>
  <c r="Y26" i="12"/>
  <c r="Y44" i="12" s="1"/>
  <c r="V26" i="12"/>
  <c r="V44" i="12" s="1"/>
  <c r="M44" i="12"/>
  <c r="T7" i="16"/>
  <c r="S26" i="14"/>
  <c r="S44" i="14" s="1"/>
  <c r="J44" i="14"/>
  <c r="V7" i="13"/>
  <c r="V26" i="13"/>
  <c r="V44" i="13" s="1"/>
  <c r="M44" i="13"/>
  <c r="V26" i="15"/>
  <c r="V44" i="15" s="1"/>
  <c r="M44" i="15"/>
  <c r="V26" i="19"/>
  <c r="V44" i="19" s="1"/>
  <c r="M44" i="19"/>
  <c r="W7" i="13"/>
  <c r="W7" i="16"/>
  <c r="W7" i="18"/>
  <c r="N44" i="19"/>
  <c r="W26" i="19"/>
  <c r="W44" i="19" s="1"/>
  <c r="K44" i="15"/>
  <c r="T26" i="15"/>
  <c r="T44" i="15" s="1"/>
  <c r="L44" i="17"/>
  <c r="U26" i="17"/>
  <c r="U44" i="17" s="1"/>
  <c r="U26" i="15"/>
  <c r="U44" i="15" s="1"/>
  <c r="L44" i="15"/>
  <c r="V7" i="12"/>
  <c r="W7" i="12"/>
  <c r="Y26" i="14"/>
  <c r="Y44" i="14" s="1"/>
  <c r="P44" i="14"/>
  <c r="Y26" i="18"/>
  <c r="Y44" i="18" s="1"/>
  <c r="P44" i="18"/>
  <c r="S7" i="17"/>
  <c r="M44" i="11"/>
  <c r="V26" i="11"/>
  <c r="V44" i="11" s="1"/>
  <c r="M44" i="18"/>
  <c r="V26" i="18"/>
  <c r="V44" i="18" s="1"/>
  <c r="W26" i="15"/>
  <c r="W44" i="15" s="1"/>
  <c r="N44" i="15"/>
  <c r="T7" i="12"/>
  <c r="T7" i="19"/>
  <c r="L44" i="11"/>
  <c r="U26" i="11"/>
  <c r="U44" i="11" s="1"/>
  <c r="Y7" i="11"/>
  <c r="Y26" i="13"/>
  <c r="Y44" i="13" s="1"/>
  <c r="P44" i="13"/>
  <c r="Y7" i="14"/>
  <c r="Y7" i="18"/>
  <c r="Y7" i="19"/>
  <c r="V7" i="17"/>
  <c r="N44" i="17"/>
  <c r="W26" i="17"/>
  <c r="W44" i="17" s="1"/>
  <c r="T26" i="13"/>
  <c r="T44" i="13" s="1"/>
  <c r="K44" i="13"/>
  <c r="T20" i="18"/>
  <c r="T20" i="19"/>
  <c r="T20" i="17"/>
  <c r="T20" i="15"/>
  <c r="T20" i="16"/>
  <c r="T20" i="14"/>
  <c r="T20" i="12"/>
  <c r="T20" i="13"/>
  <c r="T20" i="11"/>
  <c r="R18" i="19"/>
  <c r="R18" i="18"/>
  <c r="R18" i="17"/>
  <c r="R18" i="15"/>
  <c r="R18" i="16"/>
  <c r="R18" i="13"/>
  <c r="R18" i="14"/>
  <c r="R18" i="12"/>
  <c r="R18" i="11"/>
  <c r="J44" i="16"/>
  <c r="S26" i="16"/>
  <c r="S44" i="16" s="1"/>
  <c r="V7" i="18"/>
  <c r="V7" i="19"/>
  <c r="N44" i="16"/>
  <c r="W26" i="16"/>
  <c r="W44" i="16" s="1"/>
  <c r="W7" i="19"/>
  <c r="T26" i="14"/>
  <c r="T44" i="14" s="1"/>
  <c r="K44" i="14"/>
  <c r="T7" i="18"/>
  <c r="L44" i="13"/>
  <c r="U26" i="13"/>
  <c r="U44" i="13" s="1"/>
  <c r="L44" i="16"/>
  <c r="U26" i="16"/>
  <c r="U44" i="16" s="1"/>
  <c r="Y26" i="16"/>
  <c r="Y44" i="16" s="1"/>
  <c r="P44" i="16"/>
  <c r="R19" i="19"/>
  <c r="R19" i="18"/>
  <c r="R19" i="15"/>
  <c r="R19" i="14"/>
  <c r="R19" i="16"/>
  <c r="R19" i="13"/>
  <c r="R19" i="17"/>
  <c r="R19" i="11"/>
  <c r="R19" i="12"/>
  <c r="J44" i="12"/>
  <c r="S26" i="12"/>
  <c r="S44" i="12" s="1"/>
  <c r="J44" i="11"/>
  <c r="S26" i="11"/>
  <c r="S44" i="11" s="1"/>
  <c r="J44" i="17"/>
  <c r="S26" i="17"/>
  <c r="S44" i="17" s="1"/>
  <c r="S7" i="19"/>
  <c r="W7" i="17"/>
  <c r="W7" i="15"/>
  <c r="T7" i="14"/>
  <c r="T26" i="16"/>
  <c r="T44" i="16" s="1"/>
  <c r="K44" i="16"/>
  <c r="P44" i="11"/>
  <c r="Y26" i="11"/>
  <c r="Y44" i="11" s="1"/>
  <c r="Y7" i="16"/>
  <c r="Y7" i="17"/>
  <c r="T7" i="13"/>
  <c r="S20" i="18"/>
  <c r="S20" i="19"/>
  <c r="S20" i="17"/>
  <c r="S20" i="15"/>
  <c r="S20" i="16"/>
  <c r="S20" i="13"/>
  <c r="S20" i="14"/>
  <c r="S20" i="12"/>
  <c r="S20" i="11"/>
  <c r="S18" i="19"/>
  <c r="S18" i="18"/>
  <c r="S18" i="17"/>
  <c r="S18" i="15"/>
  <c r="S18" i="14"/>
  <c r="S18" i="13"/>
  <c r="S18" i="16"/>
  <c r="S18" i="11"/>
  <c r="S18" i="12"/>
  <c r="R20" i="18"/>
  <c r="R20" i="17"/>
  <c r="R20" i="15"/>
  <c r="R20" i="19"/>
  <c r="R20" i="16"/>
  <c r="R20" i="13"/>
  <c r="R20" i="12"/>
  <c r="R20" i="11"/>
  <c r="R20" i="14"/>
  <c r="S7" i="11"/>
  <c r="S7" i="14"/>
  <c r="S26" i="13"/>
  <c r="S44" i="13" s="1"/>
  <c r="J44" i="13"/>
  <c r="S7" i="16"/>
  <c r="S26" i="15"/>
  <c r="S44" i="15" s="1"/>
  <c r="J44" i="15"/>
  <c r="V7" i="11"/>
  <c r="M44" i="14"/>
  <c r="V26" i="14"/>
  <c r="V44" i="14" s="1"/>
  <c r="V7" i="16"/>
  <c r="M44" i="17"/>
  <c r="V26" i="17"/>
  <c r="V44" i="17" s="1"/>
  <c r="N44" i="11"/>
  <c r="W26" i="11"/>
  <c r="W44" i="11" s="1"/>
  <c r="N44" i="12"/>
  <c r="W26" i="12"/>
  <c r="W44" i="12" s="1"/>
  <c r="K44" i="11"/>
  <c r="T26" i="11"/>
  <c r="T44" i="11" s="1"/>
  <c r="T26" i="18"/>
  <c r="T44" i="18" s="1"/>
  <c r="K44" i="18"/>
  <c r="L44" i="12"/>
  <c r="U26" i="12"/>
  <c r="U44" i="12" s="1"/>
  <c r="Y7" i="13"/>
  <c r="Y26" i="17"/>
  <c r="Y44" i="17" s="1"/>
  <c r="P44" i="17"/>
  <c r="I23" i="16" l="1"/>
  <c r="I23" i="12"/>
  <c r="I23" i="18"/>
  <c r="I23" i="19"/>
  <c r="I23" i="13"/>
  <c r="I23" i="14"/>
  <c r="K23" i="19"/>
  <c r="I23" i="11"/>
  <c r="I23" i="15"/>
  <c r="I23" i="17"/>
  <c r="M32" i="4"/>
  <c r="L32" i="4"/>
  <c r="T32" i="4"/>
  <c r="S32" i="4"/>
  <c r="M31" i="4"/>
  <c r="L31" i="4"/>
  <c r="T31" i="4"/>
  <c r="S31" i="4"/>
  <c r="M30" i="4"/>
  <c r="L30" i="4"/>
  <c r="T30" i="4"/>
  <c r="S30" i="4"/>
  <c r="M29" i="4"/>
  <c r="L29" i="4"/>
  <c r="T29" i="4"/>
  <c r="S29" i="4"/>
  <c r="M28" i="4"/>
  <c r="L28" i="4"/>
  <c r="T28" i="4"/>
  <c r="S28" i="4"/>
  <c r="M27" i="4"/>
  <c r="L27" i="4"/>
  <c r="T27" i="4"/>
  <c r="S27" i="4"/>
  <c r="M26" i="4"/>
  <c r="L26" i="4"/>
  <c r="T26" i="4"/>
  <c r="S26" i="4"/>
  <c r="M22" i="4"/>
  <c r="L22" i="4"/>
  <c r="S22" i="4"/>
  <c r="M14" i="4"/>
  <c r="L14" i="4"/>
  <c r="T14" i="4"/>
  <c r="S14" i="4"/>
  <c r="M10" i="4"/>
  <c r="L10" i="4"/>
  <c r="T10" i="4"/>
  <c r="J10" i="4"/>
  <c r="S10" i="4" s="1"/>
  <c r="M9" i="4"/>
  <c r="L9" i="4"/>
  <c r="T9" i="4"/>
  <c r="J9" i="4"/>
  <c r="S9" i="4" s="1"/>
  <c r="M8" i="4"/>
  <c r="L8" i="4"/>
  <c r="T8" i="4"/>
  <c r="J8" i="4"/>
  <c r="M7" i="4"/>
  <c r="L7" i="4"/>
  <c r="T7" i="4"/>
  <c r="S7" i="4"/>
  <c r="I10" i="4"/>
  <c r="I9" i="4"/>
  <c r="I8" i="4"/>
  <c r="I7" i="4"/>
  <c r="R7" i="4" s="1"/>
  <c r="S8" i="4" l="1"/>
  <c r="T43" i="4"/>
  <c r="T22" i="4"/>
  <c r="S36" i="4" l="1"/>
  <c r="T36" i="4"/>
  <c r="S37" i="4"/>
  <c r="T37" i="4"/>
  <c r="S38" i="4"/>
  <c r="T38" i="4"/>
  <c r="S39" i="4"/>
  <c r="T39" i="4"/>
  <c r="S40" i="4"/>
  <c r="T40" i="4"/>
  <c r="S41" i="4"/>
  <c r="T41" i="4"/>
  <c r="S42" i="4"/>
  <c r="T42" i="4"/>
  <c r="S16" i="4"/>
  <c r="T16" i="4"/>
  <c r="S17" i="4"/>
  <c r="T17" i="4"/>
  <c r="S18" i="4"/>
  <c r="T18" i="4"/>
  <c r="S19" i="4"/>
  <c r="T19" i="4"/>
  <c r="S20" i="4"/>
  <c r="T20" i="4"/>
  <c r="T44" i="4" l="1"/>
  <c r="S44" i="4"/>
  <c r="K44" i="4"/>
  <c r="J44" i="4"/>
  <c r="I12" i="4"/>
  <c r="T12" i="4"/>
  <c r="J12" i="4"/>
  <c r="S12" i="4" s="1"/>
  <c r="T11" i="4"/>
  <c r="S11" i="4" l="1"/>
  <c r="Q16" i="4"/>
  <c r="O16" i="4"/>
  <c r="P16" i="4"/>
  <c r="L18" i="3" l="1"/>
  <c r="X22" i="4" l="1"/>
  <c r="F37" i="4" l="1"/>
  <c r="R24" i="4"/>
  <c r="B17" i="9" s="1"/>
  <c r="U24" i="4"/>
  <c r="Y24" i="4" l="1"/>
  <c r="A7" i="9"/>
  <c r="A44" i="4"/>
  <c r="M12" i="4" l="1"/>
  <c r="L12" i="4"/>
  <c r="H25" i="3" l="1"/>
  <c r="H24" i="3"/>
  <c r="H23" i="3"/>
  <c r="H22" i="3"/>
  <c r="J25" i="3"/>
  <c r="J24" i="3"/>
  <c r="J23" i="3"/>
  <c r="J22" i="3"/>
  <c r="G25" i="3"/>
  <c r="G24" i="3"/>
  <c r="G22" i="3"/>
  <c r="G23" i="3"/>
  <c r="P20" i="16" l="1"/>
  <c r="P20" i="17"/>
  <c r="P20" i="14"/>
  <c r="P20" i="19"/>
  <c r="P20" i="13"/>
  <c r="P20" i="12"/>
  <c r="Y20" i="12" s="1"/>
  <c r="P20" i="18"/>
  <c r="P20" i="15"/>
  <c r="P20" i="11"/>
  <c r="P20" i="4"/>
  <c r="N17" i="19"/>
  <c r="N17" i="15"/>
  <c r="N17" i="18"/>
  <c r="N17" i="12"/>
  <c r="N17" i="14"/>
  <c r="N17" i="11"/>
  <c r="N17" i="16"/>
  <c r="N17" i="13"/>
  <c r="N17" i="17"/>
  <c r="N17" i="4"/>
  <c r="P17" i="15"/>
  <c r="P17" i="18"/>
  <c r="P23" i="18" s="1"/>
  <c r="P17" i="16"/>
  <c r="P17" i="14"/>
  <c r="P17" i="13"/>
  <c r="P17" i="17"/>
  <c r="P17" i="19"/>
  <c r="P17" i="4"/>
  <c r="P17" i="12"/>
  <c r="P17" i="11"/>
  <c r="P23" i="11" s="1"/>
  <c r="P18" i="18"/>
  <c r="P18" i="16"/>
  <c r="P18" i="17"/>
  <c r="P18" i="19"/>
  <c r="P18" i="11"/>
  <c r="P18" i="14"/>
  <c r="P18" i="13"/>
  <c r="P18" i="4"/>
  <c r="P18" i="15"/>
  <c r="P18" i="12"/>
  <c r="N19" i="15"/>
  <c r="N19" i="18"/>
  <c r="N19" i="16"/>
  <c r="N19" i="14"/>
  <c r="N19" i="19"/>
  <c r="N19" i="11"/>
  <c r="N19" i="13"/>
  <c r="N19" i="17"/>
  <c r="N19" i="12"/>
  <c r="N19" i="4"/>
  <c r="P19" i="18"/>
  <c r="P19" i="16"/>
  <c r="P19" i="17"/>
  <c r="P19" i="14"/>
  <c r="Y19" i="14" s="1"/>
  <c r="P19" i="15"/>
  <c r="P19" i="11"/>
  <c r="P19" i="13"/>
  <c r="P19" i="12"/>
  <c r="P19" i="19"/>
  <c r="P19" i="4"/>
  <c r="M18" i="19"/>
  <c r="M18" i="15"/>
  <c r="V18" i="15" s="1"/>
  <c r="M18" i="18"/>
  <c r="M18" i="12"/>
  <c r="M18" i="16"/>
  <c r="M18" i="17"/>
  <c r="M18" i="11"/>
  <c r="M18" i="14"/>
  <c r="M18" i="13"/>
  <c r="M18" i="4"/>
  <c r="M17" i="17"/>
  <c r="M17" i="14"/>
  <c r="M17" i="19"/>
  <c r="M17" i="15"/>
  <c r="M17" i="16"/>
  <c r="M17" i="18"/>
  <c r="M17" i="12"/>
  <c r="M17" i="4"/>
  <c r="M17" i="11"/>
  <c r="M17" i="13"/>
  <c r="M23" i="13" s="1"/>
  <c r="N18" i="19"/>
  <c r="N18" i="15"/>
  <c r="N18" i="18"/>
  <c r="N18" i="16"/>
  <c r="N18" i="17"/>
  <c r="N18" i="12"/>
  <c r="W18" i="12" s="1"/>
  <c r="N18" i="11"/>
  <c r="N18" i="14"/>
  <c r="N18" i="13"/>
  <c r="N18" i="4"/>
  <c r="M19" i="19"/>
  <c r="M19" i="15"/>
  <c r="M19" i="18"/>
  <c r="M19" i="16"/>
  <c r="M19" i="17"/>
  <c r="M19" i="12"/>
  <c r="M19" i="11"/>
  <c r="M19" i="13"/>
  <c r="M19" i="14"/>
  <c r="M19" i="4"/>
  <c r="M20" i="15"/>
  <c r="M20" i="18"/>
  <c r="V20" i="18" s="1"/>
  <c r="M20" i="16"/>
  <c r="M20" i="14"/>
  <c r="M20" i="11"/>
  <c r="M20" i="17"/>
  <c r="M20" i="13"/>
  <c r="M20" i="19"/>
  <c r="M20" i="4"/>
  <c r="M20" i="12"/>
  <c r="V20" i="12" s="1"/>
  <c r="N20" i="18"/>
  <c r="N20" i="16"/>
  <c r="N20" i="17"/>
  <c r="N20" i="19"/>
  <c r="N20" i="15"/>
  <c r="N20" i="14"/>
  <c r="N20" i="11"/>
  <c r="N20" i="13"/>
  <c r="W20" i="13" s="1"/>
  <c r="N20" i="4"/>
  <c r="N20" i="12"/>
  <c r="Y17" i="19"/>
  <c r="Y17" i="17"/>
  <c r="Y17" i="15"/>
  <c r="Y17" i="16"/>
  <c r="Y17" i="13"/>
  <c r="Y17" i="14"/>
  <c r="Y17" i="12"/>
  <c r="Y19" i="19"/>
  <c r="Y19" i="18"/>
  <c r="Y19" i="17"/>
  <c r="Y19" i="15"/>
  <c r="Y19" i="16"/>
  <c r="Y19" i="13"/>
  <c r="Y19" i="12"/>
  <c r="Y19" i="11"/>
  <c r="Y20" i="19"/>
  <c r="Y20" i="18"/>
  <c r="Y20" i="17"/>
  <c r="Y20" i="15"/>
  <c r="Y20" i="16"/>
  <c r="Y20" i="14"/>
  <c r="Y20" i="13"/>
  <c r="Y20" i="11"/>
  <c r="W18" i="19"/>
  <c r="W18" i="18"/>
  <c r="W18" i="17"/>
  <c r="W18" i="15"/>
  <c r="W18" i="16"/>
  <c r="W18" i="13"/>
  <c r="W18" i="11"/>
  <c r="W18" i="14"/>
  <c r="Y18" i="19"/>
  <c r="Y18" i="18"/>
  <c r="Y18" i="17"/>
  <c r="Y18" i="15"/>
  <c r="Y18" i="13"/>
  <c r="Y18" i="14"/>
  <c r="Y18" i="16"/>
  <c r="Y18" i="11"/>
  <c r="Y18" i="12"/>
  <c r="V18" i="19"/>
  <c r="V18" i="18"/>
  <c r="V18" i="17"/>
  <c r="V18" i="16"/>
  <c r="V18" i="13"/>
  <c r="V18" i="14"/>
  <c r="V18" i="12"/>
  <c r="V18" i="11"/>
  <c r="W19" i="19"/>
  <c r="W19" i="18"/>
  <c r="W19" i="17"/>
  <c r="W19" i="15"/>
  <c r="W19" i="16"/>
  <c r="W19" i="14"/>
  <c r="W19" i="12"/>
  <c r="W19" i="11"/>
  <c r="W19" i="13"/>
  <c r="W17" i="18"/>
  <c r="W17" i="19"/>
  <c r="W17" i="17"/>
  <c r="W17" i="15"/>
  <c r="W17" i="16"/>
  <c r="W17" i="14"/>
  <c r="W17" i="12"/>
  <c r="W17" i="11"/>
  <c r="W17" i="13"/>
  <c r="V17" i="18"/>
  <c r="V17" i="19"/>
  <c r="V17" i="16"/>
  <c r="V17" i="15"/>
  <c r="V17" i="17"/>
  <c r="V17" i="13"/>
  <c r="V17" i="14"/>
  <c r="V17" i="12"/>
  <c r="V17" i="11"/>
  <c r="V19" i="19"/>
  <c r="V19" i="18"/>
  <c r="V19" i="17"/>
  <c r="V19" i="15"/>
  <c r="V19" i="16"/>
  <c r="V19" i="13"/>
  <c r="V19" i="12"/>
  <c r="V19" i="14"/>
  <c r="V19" i="11"/>
  <c r="V20" i="19"/>
  <c r="V20" i="17"/>
  <c r="V20" i="15"/>
  <c r="V20" i="14"/>
  <c r="V20" i="16"/>
  <c r="V20" i="13"/>
  <c r="V20" i="11"/>
  <c r="W20" i="18"/>
  <c r="W20" i="19"/>
  <c r="W20" i="17"/>
  <c r="W20" i="15"/>
  <c r="W20" i="16"/>
  <c r="W20" i="14"/>
  <c r="W20" i="12"/>
  <c r="W20" i="11"/>
  <c r="F22" i="3"/>
  <c r="M23" i="14" l="1"/>
  <c r="P23" i="14"/>
  <c r="N23" i="11"/>
  <c r="M23" i="11"/>
  <c r="M23" i="17"/>
  <c r="P23" i="16"/>
  <c r="N23" i="14"/>
  <c r="L17" i="17"/>
  <c r="U17" i="17" s="1"/>
  <c r="L17" i="19"/>
  <c r="L17" i="15"/>
  <c r="L17" i="18"/>
  <c r="L17" i="13"/>
  <c r="L17" i="12"/>
  <c r="L17" i="14"/>
  <c r="U17" i="14" s="1"/>
  <c r="L17" i="11"/>
  <c r="U17" i="11" s="1"/>
  <c r="L17" i="4"/>
  <c r="L17" i="16"/>
  <c r="M23" i="12"/>
  <c r="P23" i="12"/>
  <c r="P23" i="15"/>
  <c r="N23" i="18"/>
  <c r="N23" i="12"/>
  <c r="M23" i="18"/>
  <c r="N23" i="15"/>
  <c r="M23" i="16"/>
  <c r="P23" i="19"/>
  <c r="N23" i="17"/>
  <c r="N23" i="19"/>
  <c r="Y17" i="18"/>
  <c r="M23" i="15"/>
  <c r="P23" i="17"/>
  <c r="N23" i="13"/>
  <c r="Y17" i="11"/>
  <c r="M23" i="19"/>
  <c r="P23" i="13"/>
  <c r="N23" i="16"/>
  <c r="U17" i="19"/>
  <c r="U17" i="18"/>
  <c r="U17" i="15"/>
  <c r="U17" i="16"/>
  <c r="U17" i="13"/>
  <c r="U17" i="12"/>
  <c r="X43" i="4"/>
  <c r="R11" i="4" l="1"/>
  <c r="Z11" i="4"/>
  <c r="Y11" i="4"/>
  <c r="X11" i="4"/>
  <c r="W11" i="4"/>
  <c r="V11" i="4"/>
  <c r="U11" i="4"/>
  <c r="B20" i="3" l="1"/>
  <c r="M20" i="3"/>
  <c r="L20" i="3"/>
  <c r="K20" i="3"/>
  <c r="K15" i="3" l="1"/>
  <c r="X18" i="4" l="1"/>
  <c r="Z18" i="4"/>
  <c r="X19" i="4"/>
  <c r="Z19" i="4"/>
  <c r="X20" i="4"/>
  <c r="Z20" i="4"/>
  <c r="Z17" i="4"/>
  <c r="X17" i="4"/>
  <c r="K2" i="3" l="1"/>
  <c r="I2" i="3"/>
  <c r="E14" i="3" l="1"/>
  <c r="D14" i="3"/>
  <c r="E28" i="19"/>
  <c r="F28" i="19" s="1"/>
  <c r="E29" i="18"/>
  <c r="F29" i="18" s="1"/>
  <c r="E30" i="19"/>
  <c r="F30" i="19" s="1"/>
  <c r="E10" i="19"/>
  <c r="F10" i="19" s="1"/>
  <c r="E27" i="18"/>
  <c r="F27" i="18" s="1"/>
  <c r="E14" i="19"/>
  <c r="F14" i="19" s="1"/>
  <c r="E14" i="18"/>
  <c r="F14" i="18" s="1"/>
  <c r="E31" i="19"/>
  <c r="F31" i="19" s="1"/>
  <c r="E27" i="19"/>
  <c r="F27" i="19" s="1"/>
  <c r="E30" i="18"/>
  <c r="F30" i="18" s="1"/>
  <c r="E12" i="19"/>
  <c r="F12" i="19" s="1"/>
  <c r="E9" i="19"/>
  <c r="F9" i="19" s="1"/>
  <c r="E7" i="19"/>
  <c r="F7" i="19" s="1"/>
  <c r="E32" i="18"/>
  <c r="F32" i="18" s="1"/>
  <c r="E32" i="19"/>
  <c r="F32" i="19" s="1"/>
  <c r="E29" i="19"/>
  <c r="F29" i="19" s="1"/>
  <c r="E26" i="18"/>
  <c r="F26" i="18" s="1"/>
  <c r="E26" i="19"/>
  <c r="F26" i="19" s="1"/>
  <c r="E28" i="18"/>
  <c r="F28" i="18" s="1"/>
  <c r="E9" i="18"/>
  <c r="F9" i="18" s="1"/>
  <c r="E8" i="18"/>
  <c r="F8" i="18" s="1"/>
  <c r="E28" i="15"/>
  <c r="F28" i="15" s="1"/>
  <c r="E8" i="19"/>
  <c r="F8" i="19" s="1"/>
  <c r="E12" i="18"/>
  <c r="F12" i="18" s="1"/>
  <c r="E14" i="17"/>
  <c r="F14" i="17" s="1"/>
  <c r="E8" i="17"/>
  <c r="F8" i="17" s="1"/>
  <c r="E30" i="15"/>
  <c r="F30" i="15" s="1"/>
  <c r="E10" i="18"/>
  <c r="F10" i="18" s="1"/>
  <c r="E30" i="17"/>
  <c r="F30" i="17" s="1"/>
  <c r="E26" i="17"/>
  <c r="F26" i="17" s="1"/>
  <c r="E32" i="15"/>
  <c r="F32" i="15" s="1"/>
  <c r="E10" i="17"/>
  <c r="F10" i="17" s="1"/>
  <c r="E27" i="15"/>
  <c r="F27" i="15" s="1"/>
  <c r="E31" i="18"/>
  <c r="F31" i="18" s="1"/>
  <c r="E7" i="18"/>
  <c r="F7" i="18" s="1"/>
  <c r="E32" i="17"/>
  <c r="F32" i="17" s="1"/>
  <c r="E28" i="17"/>
  <c r="F28" i="17" s="1"/>
  <c r="E12" i="17"/>
  <c r="F12" i="17" s="1"/>
  <c r="E31" i="15"/>
  <c r="F31" i="15" s="1"/>
  <c r="E29" i="15"/>
  <c r="F29" i="15" s="1"/>
  <c r="E26" i="15"/>
  <c r="F26" i="15" s="1"/>
  <c r="E31" i="17"/>
  <c r="F31" i="17" s="1"/>
  <c r="E29" i="17"/>
  <c r="F29" i="17" s="1"/>
  <c r="E27" i="17"/>
  <c r="F27" i="17" s="1"/>
  <c r="E9" i="17"/>
  <c r="F9" i="17" s="1"/>
  <c r="E7" i="17"/>
  <c r="F7" i="17" s="1"/>
  <c r="E27" i="16"/>
  <c r="F27" i="16" s="1"/>
  <c r="E30" i="16"/>
  <c r="F30" i="16" s="1"/>
  <c r="E14" i="15"/>
  <c r="F14" i="15" s="1"/>
  <c r="E8" i="15"/>
  <c r="F8" i="15" s="1"/>
  <c r="E32" i="16"/>
  <c r="F32" i="16" s="1"/>
  <c r="E12" i="16"/>
  <c r="F12" i="16" s="1"/>
  <c r="E8" i="16"/>
  <c r="F8" i="16" s="1"/>
  <c r="E28" i="16"/>
  <c r="F28" i="16" s="1"/>
  <c r="E26" i="16"/>
  <c r="F26" i="16" s="1"/>
  <c r="E10" i="16"/>
  <c r="F10" i="16" s="1"/>
  <c r="E31" i="14"/>
  <c r="F31" i="14" s="1"/>
  <c r="E7" i="15"/>
  <c r="F7" i="15" s="1"/>
  <c r="E30" i="14"/>
  <c r="F30" i="14" s="1"/>
  <c r="E29" i="14"/>
  <c r="F29" i="14" s="1"/>
  <c r="E27" i="14"/>
  <c r="F27" i="14" s="1"/>
  <c r="E7" i="14"/>
  <c r="F7" i="14" s="1"/>
  <c r="E7" i="16"/>
  <c r="F7" i="16" s="1"/>
  <c r="E26" i="14"/>
  <c r="F26" i="14" s="1"/>
  <c r="E14" i="14"/>
  <c r="F14" i="14" s="1"/>
  <c r="E32" i="13"/>
  <c r="F32" i="13" s="1"/>
  <c r="E12" i="13"/>
  <c r="F12" i="13" s="1"/>
  <c r="E8" i="13"/>
  <c r="F8" i="13" s="1"/>
  <c r="E12" i="15"/>
  <c r="F12" i="15" s="1"/>
  <c r="E10" i="15"/>
  <c r="F10" i="15" s="1"/>
  <c r="E8" i="14"/>
  <c r="F8" i="14" s="1"/>
  <c r="E30" i="13"/>
  <c r="F30" i="13" s="1"/>
  <c r="E26" i="13"/>
  <c r="F26" i="13" s="1"/>
  <c r="E14" i="13"/>
  <c r="F14" i="13" s="1"/>
  <c r="E29" i="13"/>
  <c r="F29" i="13" s="1"/>
  <c r="E9" i="13"/>
  <c r="F9" i="13" s="1"/>
  <c r="E7" i="13"/>
  <c r="F7" i="13" s="1"/>
  <c r="E32" i="12"/>
  <c r="F32" i="12" s="1"/>
  <c r="E29" i="12"/>
  <c r="F29" i="12" s="1"/>
  <c r="E31" i="16"/>
  <c r="F31" i="16" s="1"/>
  <c r="E9" i="16"/>
  <c r="F9" i="16" s="1"/>
  <c r="E9" i="14"/>
  <c r="F9" i="14" s="1"/>
  <c r="E31" i="13"/>
  <c r="F31" i="13" s="1"/>
  <c r="E28" i="12"/>
  <c r="F28" i="12" s="1"/>
  <c r="E26" i="12"/>
  <c r="F26" i="12" s="1"/>
  <c r="E8" i="12"/>
  <c r="F8" i="12" s="1"/>
  <c r="E28" i="14"/>
  <c r="F28" i="14" s="1"/>
  <c r="E32" i="14"/>
  <c r="F32" i="14" s="1"/>
  <c r="E31" i="12"/>
  <c r="F31" i="12" s="1"/>
  <c r="E12" i="14"/>
  <c r="F12" i="14" s="1"/>
  <c r="E27" i="12"/>
  <c r="F27" i="12" s="1"/>
  <c r="E10" i="14"/>
  <c r="F10" i="14" s="1"/>
  <c r="E28" i="13"/>
  <c r="F28" i="13" s="1"/>
  <c r="E14" i="12"/>
  <c r="F14" i="12" s="1"/>
  <c r="E9" i="12"/>
  <c r="F9" i="12" s="1"/>
  <c r="E32" i="11"/>
  <c r="F32" i="11" s="1"/>
  <c r="E27" i="11"/>
  <c r="F27" i="11" s="1"/>
  <c r="E12" i="11"/>
  <c r="F12" i="11" s="1"/>
  <c r="E9" i="11"/>
  <c r="F9" i="11" s="1"/>
  <c r="E31" i="11"/>
  <c r="F31" i="11" s="1"/>
  <c r="E26" i="11"/>
  <c r="F26" i="11" s="1"/>
  <c r="E7" i="12"/>
  <c r="F7" i="12" s="1"/>
  <c r="E9" i="15"/>
  <c r="F9" i="15" s="1"/>
  <c r="E14" i="16"/>
  <c r="F14" i="16" s="1"/>
  <c r="E8" i="11"/>
  <c r="F8" i="11" s="1"/>
  <c r="E7" i="11"/>
  <c r="F7" i="11" s="1"/>
  <c r="E27" i="13"/>
  <c r="F27" i="13" s="1"/>
  <c r="E10" i="13"/>
  <c r="F10" i="13" s="1"/>
  <c r="E12" i="12"/>
  <c r="F12" i="12" s="1"/>
  <c r="E10" i="12"/>
  <c r="F10" i="12" s="1"/>
  <c r="E30" i="11"/>
  <c r="F30" i="11" s="1"/>
  <c r="E29" i="11"/>
  <c r="F29" i="11" s="1"/>
  <c r="E14" i="11"/>
  <c r="F14" i="11" s="1"/>
  <c r="E30" i="12"/>
  <c r="F30" i="12" s="1"/>
  <c r="E10" i="11"/>
  <c r="F10" i="11" s="1"/>
  <c r="E29" i="16"/>
  <c r="F29" i="16" s="1"/>
  <c r="E28" i="11"/>
  <c r="F28" i="11" s="1"/>
  <c r="C14" i="3"/>
  <c r="H14" i="3"/>
  <c r="E32" i="4"/>
  <c r="F32" i="4" s="1"/>
  <c r="Y32" i="4" s="1"/>
  <c r="R32" i="4"/>
  <c r="C2" i="3"/>
  <c r="G2" i="3"/>
  <c r="C15" i="3" l="1"/>
  <c r="D7" i="3"/>
  <c r="E9" i="3"/>
  <c r="D9" i="3"/>
  <c r="E8" i="3"/>
  <c r="D8" i="3"/>
  <c r="F7" i="3"/>
  <c r="E7" i="3"/>
  <c r="E15" i="3"/>
  <c r="E6" i="3"/>
  <c r="D6" i="3"/>
  <c r="H6" i="3"/>
  <c r="F6" i="3"/>
  <c r="G6" i="3"/>
  <c r="X32" i="4"/>
  <c r="W32" i="4"/>
  <c r="U32" i="4"/>
  <c r="V32" i="4"/>
  <c r="Z32" i="4"/>
  <c r="Z23" i="19" l="1"/>
  <c r="Z23" i="16"/>
  <c r="Z23" i="11"/>
  <c r="R23" i="15"/>
  <c r="Z23" i="17"/>
  <c r="Z23" i="14"/>
  <c r="R23" i="18"/>
  <c r="Z23" i="12"/>
  <c r="Z23" i="13"/>
  <c r="D15" i="3"/>
  <c r="R23" i="12"/>
  <c r="Z23" i="15"/>
  <c r="Z23" i="18"/>
  <c r="Y17" i="4"/>
  <c r="Y19" i="4"/>
  <c r="Y18" i="4"/>
  <c r="V20" i="4"/>
  <c r="W18" i="4"/>
  <c r="V19" i="4"/>
  <c r="Y20" i="4"/>
  <c r="W20" i="4"/>
  <c r="V17" i="4"/>
  <c r="W19" i="4"/>
  <c r="W17" i="4"/>
  <c r="V18" i="4"/>
  <c r="Z16" i="4"/>
  <c r="X16" i="4"/>
  <c r="X42" i="4"/>
  <c r="X41" i="4"/>
  <c r="X40" i="4"/>
  <c r="X39" i="4"/>
  <c r="X38" i="4"/>
  <c r="X37" i="4"/>
  <c r="X36" i="4"/>
  <c r="T23" i="14" l="1"/>
  <c r="R23" i="14"/>
  <c r="R23" i="17"/>
  <c r="T23" i="16"/>
  <c r="T23" i="15"/>
  <c r="T23" i="17"/>
  <c r="R23" i="11"/>
  <c r="T23" i="18"/>
  <c r="R23" i="13"/>
  <c r="T23" i="11"/>
  <c r="T23" i="19"/>
  <c r="R23" i="19"/>
  <c r="R23" i="16"/>
  <c r="T23" i="13"/>
  <c r="T23" i="12"/>
  <c r="P44" i="4"/>
  <c r="O44" i="4"/>
  <c r="Q44" i="4"/>
  <c r="F25" i="3"/>
  <c r="F24" i="3"/>
  <c r="F23" i="3"/>
  <c r="L18" i="17" l="1"/>
  <c r="L18" i="14"/>
  <c r="L18" i="19"/>
  <c r="L18" i="15"/>
  <c r="U18" i="15" s="1"/>
  <c r="L18" i="16"/>
  <c r="L18" i="12"/>
  <c r="L18" i="18"/>
  <c r="U18" i="18" s="1"/>
  <c r="L18" i="4"/>
  <c r="L18" i="13"/>
  <c r="L18" i="11"/>
  <c r="L19" i="19"/>
  <c r="L19" i="15"/>
  <c r="U19" i="15" s="1"/>
  <c r="L19" i="18"/>
  <c r="L19" i="17"/>
  <c r="U19" i="17" s="1"/>
  <c r="L19" i="4"/>
  <c r="U19" i="4" s="1"/>
  <c r="L19" i="12"/>
  <c r="U19" i="12" s="1"/>
  <c r="L19" i="11"/>
  <c r="L19" i="16"/>
  <c r="L19" i="13"/>
  <c r="L19" i="14"/>
  <c r="L20" i="19"/>
  <c r="L20" i="15"/>
  <c r="U20" i="15" s="1"/>
  <c r="L20" i="18"/>
  <c r="U20" i="18" s="1"/>
  <c r="L20" i="16"/>
  <c r="U20" i="16" s="1"/>
  <c r="L20" i="17"/>
  <c r="L20" i="12"/>
  <c r="L20" i="14"/>
  <c r="L20" i="11"/>
  <c r="U20" i="11" s="1"/>
  <c r="L20" i="13"/>
  <c r="U20" i="13" s="1"/>
  <c r="L20" i="4"/>
  <c r="U20" i="4" s="1"/>
  <c r="S23" i="19"/>
  <c r="S23" i="18"/>
  <c r="S23" i="15"/>
  <c r="S23" i="16"/>
  <c r="S23" i="11"/>
  <c r="S23" i="13"/>
  <c r="S23" i="17"/>
  <c r="U20" i="19"/>
  <c r="U20" i="17"/>
  <c r="U20" i="14"/>
  <c r="U20" i="12"/>
  <c r="U19" i="19"/>
  <c r="U19" i="18"/>
  <c r="U19" i="16"/>
  <c r="U19" i="13"/>
  <c r="U19" i="14"/>
  <c r="U19" i="11"/>
  <c r="S23" i="14"/>
  <c r="U18" i="19"/>
  <c r="U18" i="17"/>
  <c r="U18" i="16"/>
  <c r="U18" i="14"/>
  <c r="U18" i="13"/>
  <c r="U18" i="12"/>
  <c r="U18" i="11"/>
  <c r="S23" i="12"/>
  <c r="R17" i="4"/>
  <c r="R18" i="4"/>
  <c r="U17" i="4"/>
  <c r="R20" i="4"/>
  <c r="U18" i="4"/>
  <c r="R19" i="4"/>
  <c r="U43" i="4"/>
  <c r="V43" i="4"/>
  <c r="W43" i="4"/>
  <c r="Y43" i="4"/>
  <c r="Z43" i="4"/>
  <c r="R22" i="4"/>
  <c r="J14" i="3" l="1"/>
  <c r="G14" i="3"/>
  <c r="F13" i="3"/>
  <c r="F12" i="3"/>
  <c r="J9" i="3"/>
  <c r="J8" i="3"/>
  <c r="J7" i="3"/>
  <c r="G9" i="3"/>
  <c r="G8" i="3"/>
  <c r="G7" i="3"/>
  <c r="G15" i="3" l="1"/>
  <c r="V23" i="18" l="1"/>
  <c r="V23" i="12"/>
  <c r="V23" i="16"/>
  <c r="V23" i="11"/>
  <c r="V23" i="14"/>
  <c r="F14" i="3"/>
  <c r="V23" i="13" l="1"/>
  <c r="V23" i="17"/>
  <c r="V23" i="15"/>
  <c r="V23" i="19"/>
  <c r="F15" i="3"/>
  <c r="I14" i="3"/>
  <c r="H9" i="3"/>
  <c r="F9" i="3"/>
  <c r="H8" i="3"/>
  <c r="F8" i="3"/>
  <c r="H7" i="3"/>
  <c r="J6" i="3"/>
  <c r="J15" i="3" l="1"/>
  <c r="I15" i="3"/>
  <c r="H15" i="3"/>
  <c r="F27" i="3"/>
  <c r="L16" i="16" l="1"/>
  <c r="L23" i="16" s="1"/>
  <c r="L16" i="17"/>
  <c r="L23" i="17" s="1"/>
  <c r="L16" i="19"/>
  <c r="L23" i="19" s="1"/>
  <c r="L16" i="13"/>
  <c r="L23" i="13" s="1"/>
  <c r="L16" i="15"/>
  <c r="L23" i="15" s="1"/>
  <c r="L16" i="18"/>
  <c r="L23" i="18" s="1"/>
  <c r="L16" i="12"/>
  <c r="L23" i="12" s="1"/>
  <c r="L16" i="14"/>
  <c r="L23" i="14" s="1"/>
  <c r="L16" i="11"/>
  <c r="L23" i="11" s="1"/>
  <c r="Y23" i="13"/>
  <c r="X23" i="19"/>
  <c r="U16" i="19"/>
  <c r="U23" i="19" s="1"/>
  <c r="U16" i="18"/>
  <c r="U23" i="18" s="1"/>
  <c r="U16" i="17"/>
  <c r="U23" i="17" s="1"/>
  <c r="U16" i="15"/>
  <c r="U23" i="15" s="1"/>
  <c r="U16" i="16"/>
  <c r="U23" i="16" s="1"/>
  <c r="U16" i="11"/>
  <c r="U23" i="11" s="1"/>
  <c r="X23" i="16"/>
  <c r="Y23" i="11"/>
  <c r="X23" i="17"/>
  <c r="U22" i="4"/>
  <c r="V22" i="4"/>
  <c r="W22" i="4"/>
  <c r="Y22" i="4"/>
  <c r="Z22" i="4"/>
  <c r="Z42" i="4"/>
  <c r="R37" i="4"/>
  <c r="V37" i="4"/>
  <c r="W37" i="4"/>
  <c r="Y37" i="4"/>
  <c r="R38" i="4"/>
  <c r="V38" i="4"/>
  <c r="W38" i="4"/>
  <c r="Y38" i="4"/>
  <c r="Z38" i="4"/>
  <c r="R39" i="4"/>
  <c r="V39" i="4"/>
  <c r="W39" i="4"/>
  <c r="Y39" i="4"/>
  <c r="Z39" i="4"/>
  <c r="W40" i="4"/>
  <c r="Y40" i="4"/>
  <c r="Z40" i="4"/>
  <c r="R41" i="4"/>
  <c r="W41" i="4"/>
  <c r="Y41" i="4"/>
  <c r="I44" i="4"/>
  <c r="L44" i="4"/>
  <c r="M44" i="4"/>
  <c r="N44" i="4"/>
  <c r="Y42" i="4"/>
  <c r="U36" i="4"/>
  <c r="V36" i="4"/>
  <c r="W36" i="4"/>
  <c r="Y36" i="4"/>
  <c r="Z36" i="4"/>
  <c r="R36" i="4"/>
  <c r="U37" i="4"/>
  <c r="Z37" i="4"/>
  <c r="U38" i="4"/>
  <c r="U39" i="4"/>
  <c r="U40" i="4"/>
  <c r="U41" i="4"/>
  <c r="V41" i="4"/>
  <c r="Z41" i="4"/>
  <c r="F38" i="4"/>
  <c r="F39" i="4"/>
  <c r="F40" i="4"/>
  <c r="F41" i="4"/>
  <c r="F36" i="4"/>
  <c r="E7" i="4"/>
  <c r="U16" i="13" l="1"/>
  <c r="U23" i="13" s="1"/>
  <c r="U16" i="14"/>
  <c r="U23" i="14" s="1"/>
  <c r="U16" i="12"/>
  <c r="U23" i="12" s="1"/>
  <c r="W23" i="12"/>
  <c r="X23" i="12"/>
  <c r="W23" i="16"/>
  <c r="X23" i="11"/>
  <c r="Y23" i="17"/>
  <c r="W23" i="15"/>
  <c r="Y23" i="14"/>
  <c r="Y23" i="19"/>
  <c r="Y23" i="18"/>
  <c r="W23" i="17"/>
  <c r="X23" i="13"/>
  <c r="W23" i="18"/>
  <c r="W23" i="11"/>
  <c r="W23" i="19"/>
  <c r="Y23" i="12"/>
  <c r="X23" i="15"/>
  <c r="W23" i="13"/>
  <c r="Y23" i="15"/>
  <c r="X23" i="18"/>
  <c r="X23" i="14"/>
  <c r="W23" i="14"/>
  <c r="Y23" i="16"/>
  <c r="V42" i="4"/>
  <c r="W42" i="4"/>
  <c r="U42" i="4"/>
  <c r="F2" i="9" l="1"/>
  <c r="P2" i="4"/>
  <c r="E31" i="4" l="1"/>
  <c r="F31" i="4" s="1"/>
  <c r="V31" i="4" s="1"/>
  <c r="E30" i="4"/>
  <c r="F30" i="4" s="1"/>
  <c r="Y30" i="4" s="1"/>
  <c r="E28" i="4"/>
  <c r="F28" i="4" s="1"/>
  <c r="R28" i="4" s="1"/>
  <c r="E27" i="4"/>
  <c r="F27" i="4" s="1"/>
  <c r="E12" i="4"/>
  <c r="F12" i="4" s="1"/>
  <c r="I17" i="9"/>
  <c r="E26" i="4"/>
  <c r="F26" i="4" s="1"/>
  <c r="E10" i="4"/>
  <c r="F10" i="4" s="1"/>
  <c r="V10" i="4" s="1"/>
  <c r="E9" i="4"/>
  <c r="F9" i="4" s="1"/>
  <c r="R9" i="4" s="1"/>
  <c r="E8" i="4"/>
  <c r="F8" i="4" s="1"/>
  <c r="F7" i="4"/>
  <c r="Y7" i="4" s="1"/>
  <c r="A2" i="4"/>
  <c r="B2" i="4"/>
  <c r="D2" i="4"/>
  <c r="E2" i="4"/>
  <c r="F2" i="4"/>
  <c r="G2" i="4"/>
  <c r="L2" i="4"/>
  <c r="N2" i="4"/>
  <c r="E14" i="4"/>
  <c r="E29" i="4"/>
  <c r="F29" i="4" s="1"/>
  <c r="R29" i="4" s="1"/>
  <c r="R16" i="4"/>
  <c r="M16" i="4"/>
  <c r="V16" i="4" s="1"/>
  <c r="N16" i="4"/>
  <c r="E17" i="9"/>
  <c r="V24" i="4"/>
  <c r="F17" i="9" s="1"/>
  <c r="W24" i="4"/>
  <c r="G17" i="9" s="1"/>
  <c r="L16" i="4"/>
  <c r="U16" i="4" s="1"/>
  <c r="A2" i="9"/>
  <c r="C2" i="9"/>
  <c r="D2" i="9"/>
  <c r="E2" i="9"/>
  <c r="A44" i="12" l="1"/>
  <c r="A9" i="9"/>
  <c r="A44" i="13"/>
  <c r="A10" i="9"/>
  <c r="A44" i="16"/>
  <c r="A12" i="9"/>
  <c r="A44" i="15"/>
  <c r="A13" i="9"/>
  <c r="A44" i="17"/>
  <c r="A14" i="9"/>
  <c r="A44" i="18"/>
  <c r="A15" i="9"/>
  <c r="A44" i="14"/>
  <c r="A11" i="9"/>
  <c r="A44" i="11"/>
  <c r="A8" i="9"/>
  <c r="A44" i="19"/>
  <c r="A16" i="9"/>
  <c r="J23" i="4"/>
  <c r="U28" i="4"/>
  <c r="Y16" i="4"/>
  <c r="W16" i="4"/>
  <c r="U27" i="4"/>
  <c r="U12" i="4"/>
  <c r="V9" i="4"/>
  <c r="Y31" i="4"/>
  <c r="W29" i="4"/>
  <c r="Y8" i="4"/>
  <c r="V8" i="4"/>
  <c r="V29" i="4"/>
  <c r="R10" i="4"/>
  <c r="U29" i="4"/>
  <c r="V28" i="4"/>
  <c r="Y28" i="4"/>
  <c r="W28" i="4"/>
  <c r="V30" i="4"/>
  <c r="U9" i="4"/>
  <c r="W30" i="4"/>
  <c r="V26" i="4"/>
  <c r="U10" i="4"/>
  <c r="Y9" i="4"/>
  <c r="R27" i="4"/>
  <c r="V27" i="4"/>
  <c r="W27" i="4"/>
  <c r="Z31" i="4"/>
  <c r="R31" i="4"/>
  <c r="W31" i="4"/>
  <c r="Z30" i="4"/>
  <c r="R30" i="4"/>
  <c r="Z29" i="4"/>
  <c r="Y29" i="4"/>
  <c r="Z28" i="4"/>
  <c r="X28" i="4"/>
  <c r="Y27" i="4"/>
  <c r="W26" i="4"/>
  <c r="R26" i="4"/>
  <c r="U26" i="4"/>
  <c r="Y26" i="4"/>
  <c r="Y10" i="4"/>
  <c r="W10" i="4"/>
  <c r="R12" i="4"/>
  <c r="V12" i="4"/>
  <c r="W12" i="4"/>
  <c r="Y12" i="4"/>
  <c r="W9" i="4"/>
  <c r="U8" i="4"/>
  <c r="W8" i="4"/>
  <c r="W7" i="4"/>
  <c r="X29" i="4"/>
  <c r="X30" i="4"/>
  <c r="X31" i="4"/>
  <c r="X26" i="4"/>
  <c r="Z26" i="4"/>
  <c r="X27" i="4"/>
  <c r="Z27" i="4"/>
  <c r="Z7" i="4"/>
  <c r="X7" i="4"/>
  <c r="Z12" i="4"/>
  <c r="X12" i="4"/>
  <c r="Z8" i="4"/>
  <c r="X8" i="4"/>
  <c r="X10" i="4"/>
  <c r="Z10" i="4"/>
  <c r="X9" i="4"/>
  <c r="Z9" i="4"/>
  <c r="P23" i="4"/>
  <c r="N23" i="4"/>
  <c r="Q23" i="4"/>
  <c r="I23" i="4"/>
  <c r="O23" i="4"/>
  <c r="R8" i="4"/>
  <c r="V7" i="4"/>
  <c r="F14" i="4"/>
  <c r="V14" i="4" s="1"/>
  <c r="U7" i="4"/>
  <c r="M23" i="4"/>
  <c r="U30" i="4"/>
  <c r="U31" i="4"/>
  <c r="S23" i="4" l="1"/>
  <c r="C7" i="9" s="1"/>
  <c r="K23" i="4"/>
  <c r="T23" i="4"/>
  <c r="D7" i="9" s="1"/>
  <c r="V44" i="4"/>
  <c r="R44" i="4"/>
  <c r="W44" i="4"/>
  <c r="L23" i="4"/>
  <c r="Z44" i="4"/>
  <c r="Y44" i="4"/>
  <c r="X44" i="4"/>
  <c r="U44" i="4"/>
  <c r="Z14" i="4"/>
  <c r="W14" i="4"/>
  <c r="R14" i="4"/>
  <c r="U14" i="4"/>
  <c r="X14" i="4"/>
  <c r="V23" i="4"/>
  <c r="Z23" i="4" l="1"/>
  <c r="J7" i="9" s="1"/>
  <c r="W23" i="4"/>
  <c r="G7" i="9" s="1"/>
  <c r="X23" i="4"/>
  <c r="H7" i="9" s="1"/>
  <c r="B7" i="9"/>
  <c r="U23" i="4"/>
  <c r="E7" i="9" s="1"/>
  <c r="F7" i="9"/>
  <c r="Y14" i="4"/>
  <c r="Y23" i="4" s="1"/>
  <c r="I7" i="9" l="1"/>
</calcChain>
</file>

<file path=xl/sharedStrings.xml><?xml version="1.0" encoding="utf-8"?>
<sst xmlns="http://schemas.openxmlformats.org/spreadsheetml/2006/main" count="1458" uniqueCount="207">
  <si>
    <t xml:space="preserve"> </t>
  </si>
  <si>
    <t>COMPANY</t>
  </si>
  <si>
    <t>AREA</t>
  </si>
  <si>
    <t>BLOCK</t>
  </si>
  <si>
    <t xml:space="preserve">   </t>
  </si>
  <si>
    <t>LEASE</t>
  </si>
  <si>
    <t xml:space="preserve">  </t>
  </si>
  <si>
    <t>WELL</t>
  </si>
  <si>
    <t xml:space="preserve">    </t>
  </si>
  <si>
    <t>COMPANY CONTACT</t>
  </si>
  <si>
    <t>TELEPHONE NO.</t>
  </si>
  <si>
    <t>REMARKS</t>
  </si>
  <si>
    <t>Fuel Usage Conversion Factors</t>
  </si>
  <si>
    <t>Natural Gas Turbines</t>
  </si>
  <si>
    <t>Natural Gas Engines</t>
  </si>
  <si>
    <t>Diesel Recip. Engine</t>
  </si>
  <si>
    <t>REF.</t>
  </si>
  <si>
    <t>DATE</t>
  </si>
  <si>
    <t>SCF/hp-hr</t>
  </si>
  <si>
    <t>GAL/hp-hr</t>
  </si>
  <si>
    <t>AP42 3.2-1</t>
  </si>
  <si>
    <t>Equipment/Emission Factors</t>
  </si>
  <si>
    <t>units</t>
  </si>
  <si>
    <t>SOx</t>
  </si>
  <si>
    <t>NOx</t>
  </si>
  <si>
    <t>VOC</t>
  </si>
  <si>
    <t>CO</t>
  </si>
  <si>
    <t>10/96</t>
  </si>
  <si>
    <t>AP42 3.3-1</t>
  </si>
  <si>
    <t>Diesel Boiler</t>
  </si>
  <si>
    <t>lbs/bbl</t>
  </si>
  <si>
    <t>Liquid Flaring</t>
  </si>
  <si>
    <t>Fugitives</t>
  </si>
  <si>
    <t>API Study</t>
  </si>
  <si>
    <t xml:space="preserve"> 12/93</t>
  </si>
  <si>
    <t>Value</t>
  </si>
  <si>
    <t>Units</t>
  </si>
  <si>
    <t>Fuel Gas</t>
  </si>
  <si>
    <t>ppm</t>
  </si>
  <si>
    <t>Diesel Fuel</t>
  </si>
  <si>
    <t>% weight</t>
  </si>
  <si>
    <t>Produced Oil (Liquid Flaring)</t>
  </si>
  <si>
    <t xml:space="preserve"> PHONE</t>
  </si>
  <si>
    <t>OPERATIONS</t>
  </si>
  <si>
    <t>EQUIPMENT</t>
  </si>
  <si>
    <t>RATING</t>
  </si>
  <si>
    <t>MAX. FUEL</t>
  </si>
  <si>
    <t>ACT. FUEL</t>
  </si>
  <si>
    <t>RUN TIME</t>
  </si>
  <si>
    <t>MAXIMUM POUNDS PER HOUR</t>
  </si>
  <si>
    <t>ESTIMATED TONS</t>
  </si>
  <si>
    <t>Diesel Engines</t>
  </si>
  <si>
    <t>HP</t>
  </si>
  <si>
    <t>GAL/HR</t>
  </si>
  <si>
    <t>GAL/D</t>
  </si>
  <si>
    <t>Nat. Gas Engines</t>
  </si>
  <si>
    <t>SCF/HR</t>
  </si>
  <si>
    <t>SCF/D</t>
  </si>
  <si>
    <t>Burners</t>
  </si>
  <si>
    <t>MMBTU/HR</t>
  </si>
  <si>
    <t>HR/D</t>
  </si>
  <si>
    <t>DRILLING</t>
  </si>
  <si>
    <t>INSTALLATION</t>
  </si>
  <si>
    <t>FACILITY</t>
  </si>
  <si>
    <t>PRODUCTION</t>
  </si>
  <si>
    <t>WELL TEST</t>
  </si>
  <si>
    <t>EXEMPTION CALCULATION</t>
  </si>
  <si>
    <t>DISTANCE FROM LAND IN MILES</t>
  </si>
  <si>
    <t xml:space="preserve"> LEASE</t>
  </si>
  <si>
    <t>Year</t>
  </si>
  <si>
    <t>Allowable</t>
  </si>
  <si>
    <t>D/YR</t>
  </si>
  <si>
    <t>Pb</t>
  </si>
  <si>
    <t>Diesel Turbine</t>
  </si>
  <si>
    <t>AP42 3.1-1&amp; 3.1-2a</t>
  </si>
  <si>
    <t>4/00</t>
  </si>
  <si>
    <t>7/00</t>
  </si>
  <si>
    <t>AP42 3.2-2</t>
  </si>
  <si>
    <t>AP42 3.2-3</t>
  </si>
  <si>
    <t>AP42 3.4-1 &amp; 3.4-2</t>
  </si>
  <si>
    <t>NH3</t>
  </si>
  <si>
    <t>CONTACT</t>
  </si>
  <si>
    <t>Diesel Turbines</t>
  </si>
  <si>
    <t>g/hp-hr</t>
  </si>
  <si>
    <t>lbs/MMscf</t>
  </si>
  <si>
    <t>N/A</t>
  </si>
  <si>
    <t>lbs/gal </t>
  </si>
  <si>
    <t>On-Ice – Other Construction Equipment</t>
  </si>
  <si>
    <t xml:space="preserve">On-Ice – Other Survey Equipment </t>
  </si>
  <si>
    <t>On-Ice – Truck (for gravel island)</t>
  </si>
  <si>
    <t>On-Ice – Truck (for surveys)</t>
  </si>
  <si>
    <t>Man Camp - Operation</t>
  </si>
  <si>
    <t>tons/person/day</t>
  </si>
  <si>
    <t>Density</t>
  </si>
  <si>
    <t>Density and Heat Value of Diesel Fuel</t>
  </si>
  <si>
    <t>lbs/gal</t>
  </si>
  <si>
    <t>Heat Value</t>
  </si>
  <si>
    <t>Btu/lb</t>
  </si>
  <si>
    <t>Heat Value of Natural Gas</t>
  </si>
  <si>
    <t>MMBtu/MMscf</t>
  </si>
  <si>
    <t>kW</t>
  </si>
  <si>
    <t>EQUIPMENT ID</t>
  </si>
  <si>
    <t>On-Ice – Other Survey Equipment</t>
  </si>
  <si>
    <t xml:space="preserve">On-Ice – Truck (for surveys) </t>
  </si>
  <si>
    <t>AP42 1.3-6; Pb and NH3: WebFIRE (08/2018)</t>
  </si>
  <si>
    <t>AP42 1.4-1 &amp; 1.4-2; Pb and NH3: WebFIRE (08/2018)</t>
  </si>
  <si>
    <t>lb/ton</t>
  </si>
  <si>
    <t>On-Ice Equipment</t>
  </si>
  <si>
    <t>--</t>
  </si>
  <si>
    <t>Diesel Recip. &lt; 600 hp</t>
  </si>
  <si>
    <t>Diesel Recip. &gt; 600 hp</t>
  </si>
  <si>
    <t>AP 42 2.1-12</t>
  </si>
  <si>
    <t>BOEM 2014-1001</t>
  </si>
  <si>
    <t>Vessels – Propulsion</t>
  </si>
  <si>
    <t>VESSELS- Crew Diesel</t>
  </si>
  <si>
    <t>VESSELS - Supply Diesel</t>
  </si>
  <si>
    <t>VESSELS - Tugs Diesel</t>
  </si>
  <si>
    <t>VESSELS - Crew Diesel</t>
  </si>
  <si>
    <t>VESSELS - Material Tug Diesel</t>
  </si>
  <si>
    <t>VESSELS - Support Diesel</t>
  </si>
  <si>
    <t>VESSELS - Ice Management Diesel</t>
  </si>
  <si>
    <t>VESSELS - Heavy Lift Vessel/Derrick Barge Diesel</t>
  </si>
  <si>
    <t>Facility Emitted Substance</t>
  </si>
  <si>
    <t>Facility Total Emissions</t>
  </si>
  <si>
    <t>Non-Facility Total Emissions</t>
  </si>
  <si>
    <t>Storage Tank</t>
  </si>
  <si>
    <t>Cold Vent</t>
  </si>
  <si>
    <t>Glycol Dehydrator</t>
  </si>
  <si>
    <t>COMBUSTION FLARE - no smoke</t>
  </si>
  <si>
    <t>COMBUSTION FLARE - light smoke</t>
  </si>
  <si>
    <t>COMBUSTION FLARE - medium smoke</t>
  </si>
  <si>
    <t>COMBUSTION FLARE - heavy smoke</t>
  </si>
  <si>
    <t>PEOPLE/DAY</t>
  </si>
  <si>
    <t>VESSELS - Hovercraft Diesel</t>
  </si>
  <si>
    <t>tons/yr/vent</t>
  </si>
  <si>
    <t>2014 Gulfwide Inventory; Avg emiss (upper bound of 95% CI)</t>
  </si>
  <si>
    <t>tons/yr/dehydrator</t>
  </si>
  <si>
    <t>2011 Gulfwide Inventory; Avg emiss (upper bound of 95% CI)</t>
  </si>
  <si>
    <t>tons/yr/tank</t>
  </si>
  <si>
    <t>Reference Links</t>
  </si>
  <si>
    <t>https://www.boem.gov/environment/environmental-studies/2014-gulfwide-emission-inventory</t>
  </si>
  <si>
    <t>https://www.boem.gov/environment/environmental-studies/2011-gulfwide-emission-inventory</t>
  </si>
  <si>
    <t>https://www3.epa.gov/ttnchie1/ap42/ch02/final/c02s01.pdf</t>
  </si>
  <si>
    <t>https://www.epa.gov/moves/nonroad2008a-installation-and-updates</t>
  </si>
  <si>
    <t>https://www3.epa.gov/ttnchie1/ap42/ch03/final/c03s01.pdf</t>
  </si>
  <si>
    <t>https://www3.epa.gov/ttn/chief/ap42/ch03/final/c03s02.pdf</t>
  </si>
  <si>
    <t>https://www3.epa.gov/ttnchie1/ap42/ch03/final/c03s03.pdf</t>
  </si>
  <si>
    <t>https://www3.epa.gov/ttn/chief/ap42/ch03/final/c03s04.pdf</t>
  </si>
  <si>
    <t>Man Camp - Operation (maximum people per day)</t>
  </si>
  <si>
    <t>https://www3.epa.gov/ttnchie1/ap42/ch01/final/c01s03.pdf
https://cfpub.epa.gov/webfire/</t>
  </si>
  <si>
    <t>https://www3.epa.gov/ttnchie1/ap42/ch03/final/c03s01.pdf
https://cfpub.epa.gov/webfire/</t>
  </si>
  <si>
    <t>Dual Fuel Turbine</t>
  </si>
  <si>
    <t>Waste Incinerator</t>
  </si>
  <si>
    <t>On-Ice – Loader</t>
  </si>
  <si>
    <t>On-Ice – Tractor</t>
  </si>
  <si>
    <t>3/19</t>
  </si>
  <si>
    <t>9/98 and 5/10</t>
  </si>
  <si>
    <t>7/98 and 8/18</t>
  </si>
  <si>
    <t>Man Camp - Operation (max people/day)</t>
  </si>
  <si>
    <t>Produced Gas (Flare)</t>
  </si>
  <si>
    <t>VESSELS</t>
  </si>
  <si>
    <t>lbs/hr/component</t>
  </si>
  <si>
    <t>https://www.epa.gov/air-emissions-inventories/2017-national-emissions-inventory-nei-data</t>
  </si>
  <si>
    <t>https://www3.epa.gov/ttnchie1/ap42/ch01/final/c01s03.pdf</t>
  </si>
  <si>
    <t>https://www.api.org/</t>
  </si>
  <si>
    <t>VESSELS- Drilling - Propulsion Engine - Diesel</t>
  </si>
  <si>
    <t>RECIP. 2 Cycle Lean Natural Gas</t>
  </si>
  <si>
    <t>RECIP. 4 Cycle Lean Natural Gas</t>
  </si>
  <si>
    <t>RECIP. 4 Cycle Rich Natural Gas</t>
  </si>
  <si>
    <t>Combustion Flare (no smoke)</t>
  </si>
  <si>
    <t>Combustion Flare (light smoke)</t>
  </si>
  <si>
    <t>Combustion Flare (medium smoke)</t>
  </si>
  <si>
    <t>Combustion Flare (heavy smoke)</t>
  </si>
  <si>
    <t>AP42 13.5-1, 13.5-2</t>
  </si>
  <si>
    <t>2/18</t>
  </si>
  <si>
    <t>https://www3.epa.gov/ttnchie1/ap42/ch01/final/c01s04.pdf
https://cfpub.epa.gov/webfire/</t>
  </si>
  <si>
    <t>https://www3.epa.gov/ttn/chief/ap42/ch13/final/C13S05_02-05-18.pdf</t>
  </si>
  <si>
    <t>VOC Content of Flare Gas</t>
  </si>
  <si>
    <t>lb VOC/lb-mol gas</t>
  </si>
  <si>
    <t>%</t>
  </si>
  <si>
    <t>5/10</t>
  </si>
  <si>
    <t>AP42 1.3-1 through 1.3-3 and 1.3-5</t>
  </si>
  <si>
    <t>https://www.boem.gov/sites/default/files/uploadedFiles/BOEM/BOEM_Newsroom/Library/Publications/2014-1001.pdf</t>
  </si>
  <si>
    <t>FACILITY INSTALLATION</t>
  </si>
  <si>
    <t>ALASKA-SPECIFIC SOURCES</t>
  </si>
  <si>
    <t xml:space="preserve">https://www.boem.gov/environment/environmental-studies/2014-gulfwide-emission-inventory  </t>
  </si>
  <si>
    <t>Natural Gas Turbine</t>
  </si>
  <si>
    <t>Natural Gas Heater/Boiler/Burner</t>
  </si>
  <si>
    <t xml:space="preserve">Vessels – Well Stimulation </t>
  </si>
  <si>
    <t>Vessels - Hovercraft Diesel</t>
  </si>
  <si>
    <t>Vessels - Ice Management Diesel</t>
  </si>
  <si>
    <t>Natural Gas Flare Parameters</t>
  </si>
  <si>
    <t>Natural Gas Flare Efficiency</t>
  </si>
  <si>
    <t>Vessels –  Diesel Boiler</t>
  </si>
  <si>
    <t>Vessels - Diesel Boiler</t>
  </si>
  <si>
    <t>AP42 3.1-1 &amp; 3.1-2a</t>
  </si>
  <si>
    <t>AP42 3.1-1&amp; 3.1-2a; AP42 3.1-1 &amp; 3.1-2a</t>
  </si>
  <si>
    <t>PM10</t>
  </si>
  <si>
    <t>PM2.5</t>
  </si>
  <si>
    <t>TSP</t>
  </si>
  <si>
    <t>Vessels – Drilling Prime Engine, Auxiliary</t>
  </si>
  <si>
    <t>USEPA 2017 NEI;TSP refer to Diesel Recip. &gt; 600 hp reference</t>
  </si>
  <si>
    <t>USEPA 2017 NEI;TSP (units converted) refer to Diesel Boiler Reference</t>
  </si>
  <si>
    <t>Sulfur Content Source</t>
  </si>
  <si>
    <t>USEPA NONROAD2008 model; TSP (units converted) refer to Diesel Recip. &lt;600 reference</t>
  </si>
  <si>
    <t>BPD</t>
  </si>
  <si>
    <t>The Paperwork Reduction Act of 1995 (44 U.S.C. 3501 et seq.) requires us to inform you that BOEM
collects this information as part of an applicant's EP submitted for our approval. We use the information
to facilitate our review and data entry for OCS plans. We will protect proprietary data according to the
Freedom of Information Act and 30 CFR 250.197. An agency may not conduct or sponsor, and a person
is not required to respond to, a collection of information unless it displays a currently valid Office of
Management and Budget (OMB) control number. Responses are mandatory (43 U.S.C. 1334). The
reporting burden for this form is included in the burden for preparing EPs. We estimate that burden to
average 600 hours per response, including the time for reviewing instructions, gathering and maintaining
the data, and completing and reviewing the forms associated with subpart B. Direct comments on the
burden estimate or any other aspect of this form to the Information Collection Clearance Officer, Bureau
of Ocean Energy Management, 45600 Woodland Road, Sterling, Virginia 20166.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</si>
</sst>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000"/>
    <numFmt numFmtId="167" formatCode="[$-409]mmm\-yy;@"/>
    <numFmt numFmtId="168" formatCode="0.00000000000000"/>
  </numFmts>
  <fonts count="10" x14ac:knownFonts="1">
    <font>
      <sz val="10"/>
      <name val="MS Sans Serif"/>
    </font>
    <font>
      <b/>
      <sz val="10"/>
      <name val="Arial"/>
      <family val="2"/>
    </font>
    <font>
      <sz val="10"/>
      <name val="Arial"/>
      <family val="2"/>
    </font>
    <font>
      <sz val="8"/>
      <name val="Arial"/>
      <family val="2"/>
    </font>
    <font>
      <b/>
      <sz val="8"/>
      <name val="Arial"/>
      <family val="2"/>
    </font>
    <font>
      <sz val="8"/>
      <color theme="1"/>
      <name val="Arial"/>
      <family val="2"/>
    </font>
    <font>
      <sz val="12"/>
      <color theme="1"/>
      <name val="Times New Roman"/>
      <family val="1"/>
    </font>
    <font>
      <u/>
      <sz val="10"/>
      <color theme="10"/>
      <name val="MS Sans Serif"/>
    </font>
    <font>
      <sz val="12"/>
      <color rgb="FF222222"/>
      <name val="Arial"/>
      <family val="2"/>
    </font>
    <font>
      <sz val="10"/>
      <color theme="1"/>
      <name val="Arial"/>
      <family val="2"/>
    </font>
  </fonts>
  <fills count="14">
    <fill>
      <patternFill patternType="none"/>
    </fill>
    <fill>
      <patternFill patternType="gray125"/>
    </fill>
    <fill>
      <patternFill patternType="lightGray"/>
    </fill>
    <fill>
      <patternFill patternType="darkGray"/>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indexed="65"/>
        <bgColor indexed="64"/>
      </patternFill>
    </fill>
    <fill>
      <patternFill patternType="solid">
        <fgColor theme="8" tint="0.79998168889431442"/>
        <bgColor indexed="64"/>
      </patternFill>
    </fill>
    <fill>
      <patternFill patternType="darkGray">
        <bgColor theme="8" tint="0.79998168889431442"/>
      </patternFill>
    </fill>
    <fill>
      <patternFill patternType="solid">
        <fgColor theme="5" tint="0.59999389629810485"/>
        <bgColor indexed="64"/>
      </patternFill>
    </fill>
    <fill>
      <patternFill patternType="darkGray">
        <bgColor theme="5" tint="0.59999389629810485"/>
      </patternFill>
    </fill>
    <fill>
      <patternFill patternType="solid">
        <fgColor theme="7" tint="0.79998168889431442"/>
        <bgColor indexed="64"/>
      </patternFill>
    </fill>
    <fill>
      <patternFill patternType="solid">
        <fgColor theme="5" tint="0.59996337778862885"/>
        <bgColor indexed="64"/>
      </patternFill>
    </fill>
  </fills>
  <borders count="10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n">
        <color indexed="64"/>
      </left>
      <right/>
      <top style="thick">
        <color indexed="64"/>
      </top>
      <bottom/>
      <diagonal/>
    </border>
    <border>
      <left/>
      <right style="double">
        <color indexed="64"/>
      </right>
      <top style="thick">
        <color indexed="64"/>
      </top>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thick">
        <color indexed="64"/>
      </left>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style="thick">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ck">
        <color indexed="64"/>
      </right>
      <top/>
      <bottom/>
      <diagonal/>
    </border>
    <border>
      <left style="thick">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thin">
        <color indexed="64"/>
      </left>
      <right style="thick">
        <color indexed="64"/>
      </right>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ck">
        <color indexed="64"/>
      </left>
      <right style="thin">
        <color indexed="64"/>
      </right>
      <top/>
      <bottom/>
      <diagonal/>
    </border>
    <border>
      <left/>
      <right style="thin">
        <color indexed="64"/>
      </right>
      <top style="thin">
        <color indexed="64"/>
      </top>
      <bottom style="thin">
        <color indexed="64"/>
      </bottom>
      <diagonal/>
    </border>
    <border>
      <left style="double">
        <color indexed="64"/>
      </left>
      <right/>
      <top/>
      <bottom/>
      <diagonal/>
    </border>
    <border>
      <left style="thick">
        <color indexed="64"/>
      </left>
      <right style="thin">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ck">
        <color indexed="64"/>
      </right>
      <top/>
      <bottom/>
      <diagonal/>
    </border>
    <border>
      <left style="double">
        <color indexed="64"/>
      </left>
      <right/>
      <top style="thin">
        <color indexed="64"/>
      </top>
      <bottom/>
      <diagonal/>
    </border>
    <border>
      <left style="thin">
        <color indexed="64"/>
      </left>
      <right style="thin">
        <color indexed="64"/>
      </right>
      <top/>
      <bottom style="thick">
        <color indexed="64"/>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double">
        <color indexed="64"/>
      </left>
      <right style="thin">
        <color indexed="64"/>
      </right>
      <top/>
      <bottom style="thick">
        <color indexed="64"/>
      </bottom>
      <diagonal/>
    </border>
    <border>
      <left style="thin">
        <color indexed="64"/>
      </left>
      <right/>
      <top/>
      <bottom style="thick">
        <color indexed="64"/>
      </bottom>
      <diagonal/>
    </border>
    <border>
      <left style="double">
        <color indexed="64"/>
      </left>
      <right style="double">
        <color indexed="64"/>
      </right>
      <top style="thin">
        <color indexed="64"/>
      </top>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medium">
        <color indexed="64"/>
      </bottom>
      <diagonal/>
    </border>
    <border>
      <left style="double">
        <color indexed="64"/>
      </left>
      <right style="double">
        <color indexed="64"/>
      </right>
      <top style="thin">
        <color indexed="64"/>
      </top>
      <bottom style="thin">
        <color indexed="64"/>
      </bottom>
      <diagonal/>
    </border>
    <border>
      <left/>
      <right/>
      <top/>
      <bottom style="thin">
        <color indexed="64"/>
      </bottom>
      <diagonal/>
    </border>
    <border>
      <left style="thin">
        <color indexed="64"/>
      </left>
      <right style="thick">
        <color indexed="64"/>
      </right>
      <top style="thin">
        <color indexed="64"/>
      </top>
      <bottom/>
      <diagonal/>
    </border>
    <border>
      <left/>
      <right style="thick">
        <color indexed="64"/>
      </right>
      <top style="medium">
        <color indexed="64"/>
      </top>
      <bottom style="thick">
        <color indexed="64"/>
      </bottom>
      <diagonal/>
    </border>
    <border>
      <left/>
      <right style="thick">
        <color indexed="64"/>
      </right>
      <top style="medium">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double">
        <color indexed="64"/>
      </right>
      <top/>
      <bottom style="thick">
        <color indexed="64"/>
      </bottom>
      <diagonal/>
    </border>
    <border>
      <left style="thin">
        <color indexed="64"/>
      </left>
      <right/>
      <top style="double">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ck">
        <color indexed="64"/>
      </right>
      <top style="thick">
        <color indexed="64"/>
      </top>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style="thin">
        <color indexed="64"/>
      </left>
      <right style="thin">
        <color indexed="64"/>
      </right>
      <top style="thick">
        <color auto="1"/>
      </top>
      <bottom/>
      <diagonal/>
    </border>
    <border>
      <left style="thin">
        <color indexed="64"/>
      </left>
      <right style="double">
        <color indexed="64"/>
      </right>
      <top style="thick">
        <color auto="1"/>
      </top>
      <bottom/>
      <diagonal/>
    </border>
    <border>
      <left/>
      <right/>
      <top style="thick">
        <color auto="1"/>
      </top>
      <bottom/>
      <diagonal/>
    </border>
    <border>
      <left style="thick">
        <color auto="1"/>
      </left>
      <right style="thin">
        <color indexed="64"/>
      </right>
      <top style="thin">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thick">
        <color indexed="64"/>
      </bottom>
      <diagonal/>
    </border>
    <border>
      <left style="double">
        <color indexed="64"/>
      </left>
      <right style="thin">
        <color indexed="64"/>
      </right>
      <top style="thin">
        <color indexed="64"/>
      </top>
      <bottom style="thick">
        <color indexed="64"/>
      </bottom>
      <diagonal/>
    </border>
    <border>
      <left style="double">
        <color indexed="64"/>
      </left>
      <right style="thin">
        <color indexed="64"/>
      </right>
      <top style="thick">
        <color auto="1"/>
      </top>
      <bottom/>
      <diagonal/>
    </border>
    <border>
      <left style="double">
        <color indexed="64"/>
      </left>
      <right/>
      <top style="thick">
        <color auto="1"/>
      </top>
      <bottom/>
      <diagonal/>
    </border>
  </borders>
  <cellStyleXfs count="2">
    <xf numFmtId="0" fontId="0" fillId="0" borderId="0"/>
    <xf numFmtId="0" fontId="7" fillId="0" borderId="0" applyNumberFormat="0" applyFill="0" applyBorder="0" applyAlignment="0" applyProtection="0"/>
  </cellStyleXfs>
  <cellXfs count="481">
    <xf numFmtId="0" fontId="0" fillId="0" borderId="0" xfId="0"/>
    <xf numFmtId="0" fontId="1" fillId="0" borderId="3" xfId="0" applyFont="1" applyBorder="1" applyAlignment="1">
      <alignment horizontal="left" vertical="center"/>
    </xf>
    <xf numFmtId="0" fontId="2" fillId="0" borderId="0" xfId="0" applyFont="1"/>
    <xf numFmtId="0" fontId="2" fillId="0" borderId="4" xfId="0" applyFont="1" applyBorder="1" applyAlignment="1">
      <alignment horizontal="left" vertical="center"/>
    </xf>
    <xf numFmtId="0" fontId="2" fillId="0" borderId="5" xfId="0" applyFont="1" applyBorder="1" applyAlignment="1">
      <alignment horizontal="center" vertical="center"/>
    </xf>
    <xf numFmtId="1" fontId="2" fillId="0" borderId="5"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1" fontId="2" fillId="0" borderId="0" xfId="0" applyNumberFormat="1" applyFont="1" applyAlignment="1">
      <alignment horizontal="center" vertical="center"/>
    </xf>
    <xf numFmtId="164" fontId="3" fillId="0" borderId="0" xfId="0" applyNumberFormat="1" applyFont="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164" fontId="3" fillId="0" borderId="13" xfId="0" applyNumberFormat="1" applyFont="1" applyBorder="1" applyAlignment="1">
      <alignment horizontal="center" vertical="center"/>
    </xf>
    <xf numFmtId="164" fontId="2" fillId="0" borderId="0" xfId="0" applyNumberFormat="1" applyFont="1" applyAlignment="1">
      <alignment horizontal="center" vertical="center"/>
    </xf>
    <xf numFmtId="164" fontId="2" fillId="0" borderId="0" xfId="0" applyNumberFormat="1" applyFont="1"/>
    <xf numFmtId="1" fontId="3" fillId="0" borderId="14" xfId="0" applyNumberFormat="1" applyFont="1" applyBorder="1" applyAlignment="1">
      <alignment horizontal="center" vertical="center"/>
    </xf>
    <xf numFmtId="164" fontId="1" fillId="0" borderId="0" xfId="0" applyNumberFormat="1" applyFont="1"/>
    <xf numFmtId="164" fontId="1" fillId="0" borderId="0" xfId="0" applyNumberFormat="1" applyFont="1" applyAlignment="1">
      <alignment horizontal="center" vertical="center"/>
    </xf>
    <xf numFmtId="2" fontId="2" fillId="0" borderId="0" xfId="0" applyNumberFormat="1" applyFont="1" applyAlignment="1">
      <alignment horizontal="center" vertical="center"/>
    </xf>
    <xf numFmtId="0" fontId="1" fillId="0" borderId="0" xfId="0" applyFont="1"/>
    <xf numFmtId="0" fontId="1" fillId="0" borderId="0" xfId="0" applyFont="1" applyAlignment="1">
      <alignment horizontal="center" vertical="center"/>
    </xf>
    <xf numFmtId="2" fontId="1" fillId="0" borderId="0" xfId="0" applyNumberFormat="1" applyFont="1" applyAlignment="1">
      <alignment horizontal="center" vertical="center"/>
    </xf>
    <xf numFmtId="164" fontId="1" fillId="0" borderId="0" xfId="0" applyNumberFormat="1" applyFont="1" applyAlignment="1">
      <alignment horizontal="center"/>
    </xf>
    <xf numFmtId="0" fontId="4" fillId="0" borderId="1" xfId="0" applyFont="1" applyBorder="1" applyAlignment="1">
      <alignment horizontal="center" vertical="center"/>
    </xf>
    <xf numFmtId="1" fontId="4" fillId="0" borderId="1" xfId="0" applyNumberFormat="1" applyFont="1" applyBorder="1" applyAlignment="1">
      <alignment horizontal="center" vertical="center"/>
    </xf>
    <xf numFmtId="0" fontId="4" fillId="0" borderId="2" xfId="0" applyFont="1" applyBorder="1" applyAlignment="1">
      <alignment horizontal="center" vertical="center"/>
    </xf>
    <xf numFmtId="164" fontId="4" fillId="0" borderId="2" xfId="0" applyNumberFormat="1" applyFont="1" applyBorder="1" applyAlignment="1">
      <alignment horizontal="center" vertical="center"/>
    </xf>
    <xf numFmtId="164" fontId="4" fillId="0" borderId="2" xfId="0" applyNumberFormat="1" applyFont="1" applyBorder="1" applyAlignment="1">
      <alignment horizontal="right" vertical="center"/>
    </xf>
    <xf numFmtId="164" fontId="4" fillId="0" borderId="15" xfId="0" applyNumberFormat="1" applyFont="1" applyBorder="1" applyAlignment="1">
      <alignment horizontal="center" vertical="center"/>
    </xf>
    <xf numFmtId="164" fontId="4" fillId="0" borderId="16" xfId="0" applyNumberFormat="1" applyFont="1" applyBorder="1" applyAlignment="1">
      <alignment horizontal="center" vertical="center"/>
    </xf>
    <xf numFmtId="164" fontId="4" fillId="0" borderId="16" xfId="0" applyNumberFormat="1" applyFont="1" applyBorder="1" applyAlignment="1">
      <alignment horizont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164" fontId="1" fillId="0" borderId="18" xfId="0" applyNumberFormat="1" applyFont="1" applyBorder="1" applyAlignment="1">
      <alignment horizontal="center" vertical="center"/>
    </xf>
    <xf numFmtId="0" fontId="1" fillId="0" borderId="18" xfId="0" applyFont="1" applyBorder="1" applyAlignment="1">
      <alignment horizontal="centerContinuous" vertical="center"/>
    </xf>
    <xf numFmtId="0" fontId="1" fillId="0" borderId="19" xfId="0" applyFont="1" applyBorder="1" applyAlignment="1">
      <alignment horizontal="centerContinuous" vertical="center"/>
    </xf>
    <xf numFmtId="164" fontId="1" fillId="0" borderId="20" xfId="0" applyNumberFormat="1" applyFont="1" applyBorder="1" applyAlignment="1">
      <alignment horizontal="center" vertical="center"/>
    </xf>
    <xf numFmtId="164" fontId="1" fillId="0" borderId="21" xfId="0" applyNumberFormat="1" applyFont="1" applyBorder="1" applyAlignment="1">
      <alignment horizontal="center" vertical="center"/>
    </xf>
    <xf numFmtId="164" fontId="1" fillId="0" borderId="20" xfId="0" applyNumberFormat="1" applyFont="1" applyBorder="1"/>
    <xf numFmtId="0" fontId="1" fillId="0" borderId="22" xfId="0" applyFont="1" applyBorder="1" applyAlignment="1">
      <alignment horizontal="center" vertical="center"/>
    </xf>
    <xf numFmtId="0" fontId="1" fillId="0" borderId="23" xfId="0" applyFont="1" applyBorder="1" applyAlignment="1">
      <alignment horizontal="center" vertical="center"/>
    </xf>
    <xf numFmtId="164" fontId="1" fillId="0" borderId="23" xfId="0" applyNumberFormat="1" applyFont="1" applyBorder="1" applyAlignment="1">
      <alignment horizontal="center" vertical="center"/>
    </xf>
    <xf numFmtId="0" fontId="1" fillId="0" borderId="23" xfId="0" applyFont="1" applyBorder="1" applyAlignment="1">
      <alignment horizontal="centerContinuous" vertical="center"/>
    </xf>
    <xf numFmtId="0" fontId="1" fillId="0" borderId="24" xfId="0" applyFont="1" applyBorder="1" applyAlignment="1">
      <alignment horizontal="centerContinuous" vertical="center"/>
    </xf>
    <xf numFmtId="164" fontId="1" fillId="0" borderId="25" xfId="0" applyNumberFormat="1" applyFont="1" applyBorder="1" applyAlignment="1">
      <alignment horizontal="center" vertical="center"/>
    </xf>
    <xf numFmtId="164" fontId="1" fillId="0" borderId="24" xfId="0" applyNumberFormat="1" applyFont="1" applyBorder="1" applyAlignment="1">
      <alignment horizontal="center" vertical="center"/>
    </xf>
    <xf numFmtId="164" fontId="1" fillId="0" borderId="25" xfId="0" applyNumberFormat="1" applyFont="1" applyBorder="1"/>
    <xf numFmtId="0" fontId="1" fillId="0" borderId="26" xfId="0" applyFont="1" applyBorder="1" applyAlignment="1">
      <alignment horizontal="center" vertical="center"/>
    </xf>
    <xf numFmtId="0" fontId="1" fillId="0" borderId="27" xfId="0" applyFont="1" applyBorder="1" applyAlignment="1">
      <alignment horizontal="center" vertical="center"/>
    </xf>
    <xf numFmtId="164" fontId="1" fillId="0" borderId="27" xfId="0" applyNumberFormat="1" applyFont="1" applyBorder="1" applyAlignment="1">
      <alignment horizontal="center" vertical="center"/>
    </xf>
    <xf numFmtId="0" fontId="1" fillId="0" borderId="27" xfId="0" applyFont="1" applyBorder="1" applyAlignment="1">
      <alignment horizontal="centerContinuous" vertical="center"/>
    </xf>
    <xf numFmtId="0" fontId="1" fillId="0" borderId="28" xfId="0" applyFont="1" applyBorder="1" applyAlignment="1">
      <alignment horizontal="centerContinuous" vertical="center"/>
    </xf>
    <xf numFmtId="164" fontId="1" fillId="0" borderId="29" xfId="0" applyNumberFormat="1" applyFont="1" applyBorder="1" applyAlignment="1">
      <alignment horizontal="center" vertical="center"/>
    </xf>
    <xf numFmtId="164" fontId="1" fillId="0" borderId="28" xfId="0" applyNumberFormat="1" applyFont="1" applyBorder="1" applyAlignment="1">
      <alignment horizontal="center" vertical="center"/>
    </xf>
    <xf numFmtId="164" fontId="1" fillId="0" borderId="29" xfId="0" applyNumberFormat="1" applyFont="1" applyBorder="1"/>
    <xf numFmtId="164" fontId="1" fillId="0" borderId="30" xfId="0" applyNumberFormat="1" applyFont="1" applyBorder="1"/>
    <xf numFmtId="2" fontId="2" fillId="0" borderId="32" xfId="0" applyNumberFormat="1" applyFont="1" applyBorder="1" applyAlignment="1">
      <alignment horizontal="center" vertical="center"/>
    </xf>
    <xf numFmtId="2" fontId="2" fillId="0" borderId="9" xfId="0" applyNumberFormat="1" applyFont="1" applyBorder="1" applyAlignment="1">
      <alignment horizontal="center" vertical="center"/>
    </xf>
    <xf numFmtId="2" fontId="2" fillId="0" borderId="10" xfId="0" applyNumberFormat="1" applyFont="1" applyBorder="1" applyAlignment="1">
      <alignment horizontal="center"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2" fontId="2" fillId="0" borderId="38" xfId="0" applyNumberFormat="1" applyFont="1" applyBorder="1" applyAlignment="1">
      <alignment horizontal="center" vertical="center"/>
    </xf>
    <xf numFmtId="1" fontId="2" fillId="0" borderId="38" xfId="0" applyNumberFormat="1" applyFont="1" applyBorder="1" applyAlignment="1">
      <alignment horizontal="center" vertical="center"/>
    </xf>
    <xf numFmtId="1" fontId="2" fillId="0" borderId="40" xfId="0" applyNumberFormat="1" applyFont="1" applyBorder="1" applyAlignment="1">
      <alignment horizontal="center" vertical="center"/>
    </xf>
    <xf numFmtId="2" fontId="2" fillId="0" borderId="39" xfId="0" applyNumberFormat="1" applyFont="1" applyBorder="1" applyAlignment="1">
      <alignment horizontal="center" vertical="center"/>
    </xf>
    <xf numFmtId="2" fontId="2" fillId="0" borderId="42" xfId="0" applyNumberFormat="1" applyFont="1" applyBorder="1" applyAlignment="1">
      <alignment horizontal="center" vertical="center"/>
    </xf>
    <xf numFmtId="0" fontId="1" fillId="0" borderId="13" xfId="0" applyFont="1" applyBorder="1" applyAlignment="1">
      <alignment horizontal="center" vertical="center"/>
    </xf>
    <xf numFmtId="164" fontId="1" fillId="0" borderId="13" xfId="0" applyNumberFormat="1" applyFont="1" applyBorder="1" applyAlignment="1">
      <alignment horizontal="center" vertical="center"/>
    </xf>
    <xf numFmtId="0" fontId="2" fillId="0" borderId="14" xfId="0" applyFont="1" applyBorder="1" applyAlignment="1">
      <alignment horizontal="center" vertical="center"/>
    </xf>
    <xf numFmtId="2" fontId="2" fillId="0" borderId="29" xfId="0" applyNumberFormat="1" applyFont="1" applyBorder="1" applyAlignment="1">
      <alignment horizontal="center" vertical="center"/>
    </xf>
    <xf numFmtId="164" fontId="2" fillId="3" borderId="32" xfId="0" applyNumberFormat="1" applyFont="1" applyFill="1" applyBorder="1" applyAlignment="1">
      <alignment horizontal="center" vertical="center"/>
    </xf>
    <xf numFmtId="2" fontId="2" fillId="0" borderId="47" xfId="0" applyNumberFormat="1" applyFont="1" applyBorder="1" applyAlignment="1">
      <alignment horizontal="center" vertical="center"/>
    </xf>
    <xf numFmtId="164" fontId="1" fillId="0" borderId="13" xfId="0" applyNumberFormat="1" applyFont="1" applyBorder="1" applyAlignment="1">
      <alignment horizontal="center" vertical="center" wrapText="1"/>
    </xf>
    <xf numFmtId="0" fontId="2" fillId="0" borderId="0" xfId="0" applyFont="1" applyAlignment="1">
      <alignment horizontal="right" vertical="center"/>
    </xf>
    <xf numFmtId="0" fontId="3" fillId="0" borderId="1" xfId="0" applyFont="1" applyBorder="1"/>
    <xf numFmtId="0" fontId="1" fillId="1" borderId="7" xfId="0" applyFont="1" applyFill="1" applyBorder="1" applyAlignment="1">
      <alignment horizontal="center" vertical="center"/>
    </xf>
    <xf numFmtId="0" fontId="1" fillId="1" borderId="54" xfId="0" applyFont="1" applyFill="1" applyBorder="1" applyAlignment="1">
      <alignment horizontal="center" vertical="center"/>
    </xf>
    <xf numFmtId="0" fontId="1" fillId="1" borderId="55" xfId="0" applyFont="1" applyFill="1" applyBorder="1" applyAlignment="1">
      <alignment horizontal="center" vertical="center"/>
    </xf>
    <xf numFmtId="0" fontId="1" fillId="1" borderId="9" xfId="0" applyFont="1" applyFill="1" applyBorder="1" applyAlignment="1">
      <alignment horizontal="center" vertical="center"/>
    </xf>
    <xf numFmtId="0" fontId="1" fillId="1" borderId="56" xfId="0" applyFont="1" applyFill="1" applyBorder="1" applyAlignment="1">
      <alignment horizontal="center" vertical="center"/>
    </xf>
    <xf numFmtId="0" fontId="1" fillId="1" borderId="57" xfId="0" applyFont="1" applyFill="1" applyBorder="1" applyAlignment="1">
      <alignment horizontal="center" vertical="center"/>
    </xf>
    <xf numFmtId="0" fontId="1" fillId="1" borderId="35" xfId="0" applyFont="1" applyFill="1" applyBorder="1" applyAlignment="1">
      <alignment horizontal="center" vertical="center"/>
    </xf>
    <xf numFmtId="0" fontId="1" fillId="1" borderId="58" xfId="0" applyFont="1" applyFill="1" applyBorder="1" applyAlignment="1">
      <alignment horizontal="center" vertical="center"/>
    </xf>
    <xf numFmtId="0" fontId="1" fillId="1" borderId="59" xfId="0" applyFont="1" applyFill="1" applyBorder="1" applyAlignment="1">
      <alignment horizontal="center" vertical="center"/>
    </xf>
    <xf numFmtId="0" fontId="1" fillId="1" borderId="60" xfId="0" applyFont="1" applyFill="1" applyBorder="1" applyAlignment="1">
      <alignment horizontal="center" vertical="center"/>
    </xf>
    <xf numFmtId="0" fontId="1" fillId="0" borderId="62" xfId="0" applyFont="1" applyBorder="1" applyAlignment="1">
      <alignment horizontal="center"/>
    </xf>
    <xf numFmtId="2" fontId="1" fillId="0" borderId="63" xfId="0" applyNumberFormat="1" applyFont="1" applyBorder="1" applyAlignment="1">
      <alignment horizontal="center" vertical="center"/>
    </xf>
    <xf numFmtId="164" fontId="1" fillId="0" borderId="64" xfId="0" applyNumberFormat="1"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164" fontId="2" fillId="0" borderId="12" xfId="0" applyNumberFormat="1" applyFont="1" applyBorder="1" applyAlignment="1">
      <alignment horizontal="center" vertical="center"/>
    </xf>
    <xf numFmtId="17" fontId="3" fillId="0" borderId="14" xfId="0" quotePrefix="1" applyNumberFormat="1" applyFont="1" applyBorder="1" applyAlignment="1">
      <alignment horizontal="center" vertical="center"/>
    </xf>
    <xf numFmtId="0" fontId="1" fillId="1" borderId="0" xfId="0" applyFont="1" applyFill="1" applyAlignment="1">
      <alignment horizontal="center" vertical="center"/>
    </xf>
    <xf numFmtId="164" fontId="2" fillId="4" borderId="1" xfId="0" applyNumberFormat="1" applyFont="1" applyFill="1" applyBorder="1" applyAlignment="1">
      <alignment horizontal="center" vertical="center"/>
    </xf>
    <xf numFmtId="164" fontId="3" fillId="4" borderId="5" xfId="0" applyNumberFormat="1" applyFont="1" applyFill="1" applyBorder="1" applyAlignment="1">
      <alignment horizontal="center" vertical="center"/>
    </xf>
    <xf numFmtId="164" fontId="3" fillId="4" borderId="6" xfId="0" applyNumberFormat="1" applyFont="1" applyFill="1" applyBorder="1" applyAlignment="1">
      <alignment horizontal="center" vertical="center"/>
    </xf>
    <xf numFmtId="164" fontId="1" fillId="0" borderId="36" xfId="0" applyNumberFormat="1" applyFont="1" applyBorder="1"/>
    <xf numFmtId="164" fontId="3" fillId="0" borderId="75" xfId="0" applyNumberFormat="1" applyFont="1" applyBorder="1" applyAlignment="1">
      <alignment horizontal="center"/>
    </xf>
    <xf numFmtId="0" fontId="1" fillId="1" borderId="79" xfId="0" applyFont="1" applyFill="1" applyBorder="1" applyAlignment="1">
      <alignment horizontal="center" vertical="center"/>
    </xf>
    <xf numFmtId="0" fontId="1" fillId="1" borderId="8" xfId="0" applyFont="1" applyFill="1" applyBorder="1" applyAlignment="1">
      <alignment horizontal="center" vertical="center"/>
    </xf>
    <xf numFmtId="0" fontId="1" fillId="1" borderId="53" xfId="0" applyFont="1" applyFill="1" applyBorder="1" applyAlignment="1">
      <alignment horizontal="center" vertical="center"/>
    </xf>
    <xf numFmtId="0" fontId="1" fillId="1" borderId="80" xfId="0" applyFont="1" applyFill="1" applyBorder="1" applyAlignment="1">
      <alignment horizontal="center" vertical="center"/>
    </xf>
    <xf numFmtId="166" fontId="2" fillId="4" borderId="13" xfId="0" applyNumberFormat="1" applyFont="1" applyFill="1" applyBorder="1" applyAlignment="1">
      <alignment horizontal="center" vertical="center"/>
    </xf>
    <xf numFmtId="166" fontId="2" fillId="0" borderId="13" xfId="0" applyNumberFormat="1" applyFont="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Border="1" applyAlignment="1">
      <alignment horizontal="center" vertical="center"/>
    </xf>
    <xf numFmtId="2" fontId="2" fillId="0" borderId="51" xfId="0" applyNumberFormat="1" applyFont="1" applyBorder="1" applyAlignment="1">
      <alignment horizontal="center" vertical="center"/>
    </xf>
    <xf numFmtId="0" fontId="2" fillId="0" borderId="13" xfId="0" applyFont="1" applyBorder="1" applyAlignment="1">
      <alignment horizontal="left" vertical="center"/>
    </xf>
    <xf numFmtId="0" fontId="2" fillId="0" borderId="13" xfId="0" applyFont="1" applyBorder="1" applyAlignment="1">
      <alignment horizontal="center" wrapText="1"/>
    </xf>
    <xf numFmtId="0" fontId="2" fillId="4" borderId="12" xfId="0" applyFont="1" applyFill="1" applyBorder="1" applyAlignment="1">
      <alignment horizontal="left" vertical="center"/>
    </xf>
    <xf numFmtId="0" fontId="2" fillId="4" borderId="13" xfId="0" applyFont="1" applyFill="1" applyBorder="1" applyAlignment="1">
      <alignment horizontal="center" vertical="center"/>
    </xf>
    <xf numFmtId="164" fontId="3" fillId="4" borderId="13" xfId="0" applyNumberFormat="1" applyFont="1" applyFill="1" applyBorder="1" applyAlignment="1">
      <alignment horizontal="center" vertical="center"/>
    </xf>
    <xf numFmtId="164" fontId="3" fillId="4" borderId="14" xfId="0" quotePrefix="1" applyNumberFormat="1" applyFont="1" applyFill="1" applyBorder="1" applyAlignment="1">
      <alignment horizontal="center" vertical="center"/>
    </xf>
    <xf numFmtId="17" fontId="3" fillId="4" borderId="14" xfId="0" quotePrefix="1" applyNumberFormat="1" applyFont="1" applyFill="1" applyBorder="1" applyAlignment="1">
      <alignment horizontal="center" vertical="center"/>
    </xf>
    <xf numFmtId="164" fontId="3" fillId="0" borderId="14" xfId="0" quotePrefix="1" applyNumberFormat="1" applyFont="1" applyBorder="1" applyAlignment="1">
      <alignment horizontal="center" vertical="center"/>
    </xf>
    <xf numFmtId="0" fontId="1" fillId="0" borderId="14" xfId="0" applyFont="1" applyBorder="1" applyAlignment="1">
      <alignment horizontal="center" vertical="center"/>
    </xf>
    <xf numFmtId="2" fontId="2" fillId="0" borderId="28" xfId="0" applyNumberFormat="1" applyFont="1" applyBorder="1" applyAlignment="1">
      <alignment horizontal="center" vertical="center"/>
    </xf>
    <xf numFmtId="2" fontId="2" fillId="0" borderId="25" xfId="0" applyNumberFormat="1" applyFont="1" applyBorder="1" applyAlignment="1">
      <alignment horizontal="center" vertical="center"/>
    </xf>
    <xf numFmtId="0" fontId="1" fillId="2" borderId="13" xfId="0" quotePrefix="1" applyFont="1" applyFill="1" applyBorder="1" applyAlignment="1">
      <alignment horizontal="center" vertical="center"/>
    </xf>
    <xf numFmtId="166" fontId="2" fillId="5" borderId="13" xfId="0" applyNumberFormat="1"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67" xfId="0" applyFont="1" applyBorder="1" applyAlignment="1">
      <alignment horizontal="center"/>
    </xf>
    <xf numFmtId="0" fontId="2" fillId="0" borderId="68" xfId="0" applyFont="1" applyBorder="1" applyAlignment="1">
      <alignment horizontal="center"/>
    </xf>
    <xf numFmtId="0" fontId="2" fillId="0" borderId="69" xfId="0" applyFont="1" applyBorder="1" applyAlignment="1">
      <alignment horizontal="center"/>
    </xf>
    <xf numFmtId="0" fontId="1" fillId="0" borderId="2" xfId="0" applyFont="1" applyBorder="1"/>
    <xf numFmtId="0" fontId="2" fillId="0" borderId="16" xfId="0" applyFont="1" applyBorder="1"/>
    <xf numFmtId="0" fontId="2" fillId="0" borderId="1" xfId="0" applyFont="1" applyBorder="1" applyAlignment="1">
      <alignment horizontal="left"/>
    </xf>
    <xf numFmtId="0" fontId="2" fillId="0" borderId="70" xfId="0" applyFont="1" applyBorder="1"/>
    <xf numFmtId="0" fontId="1" fillId="0" borderId="64" xfId="0" applyFont="1" applyBorder="1" applyAlignment="1">
      <alignment horizontal="left" vertical="center"/>
    </xf>
    <xf numFmtId="0" fontId="1" fillId="0" borderId="12" xfId="0" applyFont="1" applyBorder="1" applyAlignment="1">
      <alignment horizontal="left" vertical="center"/>
    </xf>
    <xf numFmtId="1" fontId="2" fillId="0" borderId="13" xfId="0" applyNumberFormat="1" applyFont="1" applyBorder="1" applyAlignment="1">
      <alignment horizontal="center" vertical="center"/>
    </xf>
    <xf numFmtId="164" fontId="2" fillId="0" borderId="13" xfId="0" applyNumberFormat="1" applyFont="1" applyBorder="1" applyAlignment="1">
      <alignment horizontal="center" vertical="center"/>
    </xf>
    <xf numFmtId="164" fontId="2" fillId="0" borderId="14" xfId="0" applyNumberFormat="1" applyFont="1" applyBorder="1" applyAlignment="1">
      <alignment horizontal="center" vertical="center"/>
    </xf>
    <xf numFmtId="0" fontId="2" fillId="0" borderId="67" xfId="0" applyFont="1" applyBorder="1" applyAlignment="1">
      <alignment horizontal="left" vertical="center"/>
    </xf>
    <xf numFmtId="1" fontId="1" fillId="0" borderId="65" xfId="0" applyNumberFormat="1" applyFont="1" applyBorder="1" applyAlignment="1">
      <alignment horizontal="center" vertical="center"/>
    </xf>
    <xf numFmtId="164" fontId="1" fillId="0" borderId="65" xfId="0" applyNumberFormat="1" applyFont="1" applyBorder="1" applyAlignment="1">
      <alignment horizontal="center" vertical="center"/>
    </xf>
    <xf numFmtId="164" fontId="1" fillId="0" borderId="66" xfId="0" applyNumberFormat="1" applyFont="1" applyBorder="1" applyAlignment="1">
      <alignment horizontal="center" vertical="center"/>
    </xf>
    <xf numFmtId="0" fontId="2" fillId="6" borderId="12" xfId="0" applyFont="1" applyFill="1" applyBorder="1" applyAlignment="1">
      <alignment horizontal="left" vertical="center"/>
    </xf>
    <xf numFmtId="0" fontId="2" fillId="6" borderId="13" xfId="0" applyFont="1" applyFill="1" applyBorder="1" applyAlignment="1">
      <alignment horizontal="center" vertical="center"/>
    </xf>
    <xf numFmtId="164" fontId="3" fillId="6" borderId="13" xfId="0" applyNumberFormat="1" applyFont="1" applyFill="1" applyBorder="1" applyAlignment="1">
      <alignment horizontal="center" vertical="center"/>
    </xf>
    <xf numFmtId="164" fontId="3" fillId="6" borderId="14" xfId="0" quotePrefix="1" applyNumberFormat="1" applyFont="1" applyFill="1" applyBorder="1" applyAlignment="1">
      <alignment horizontal="center" vertical="center"/>
    </xf>
    <xf numFmtId="164" fontId="3" fillId="0" borderId="14" xfId="0" applyNumberFormat="1" applyFont="1" applyBorder="1" applyAlignment="1">
      <alignment horizontal="center" vertical="center"/>
    </xf>
    <xf numFmtId="165" fontId="2" fillId="6" borderId="13" xfId="0" applyNumberFormat="1" applyFont="1" applyFill="1" applyBorder="1" applyAlignment="1">
      <alignment horizontal="center" vertical="center"/>
    </xf>
    <xf numFmtId="164" fontId="3" fillId="6" borderId="14" xfId="0" applyNumberFormat="1" applyFont="1" applyFill="1" applyBorder="1" applyAlignment="1">
      <alignment horizontal="center" vertical="center"/>
    </xf>
    <xf numFmtId="1" fontId="3" fillId="4" borderId="14" xfId="0" applyNumberFormat="1" applyFont="1" applyFill="1" applyBorder="1" applyAlignment="1">
      <alignment horizontal="center" vertical="center"/>
    </xf>
    <xf numFmtId="2" fontId="2" fillId="0" borderId="58" xfId="0" applyNumberFormat="1" applyFont="1" applyBorder="1" applyAlignment="1">
      <alignment horizontal="center" vertical="center"/>
    </xf>
    <xf numFmtId="166" fontId="2" fillId="6" borderId="13" xfId="0" applyNumberFormat="1" applyFont="1" applyFill="1" applyBorder="1" applyAlignment="1">
      <alignment horizontal="center" vertical="center"/>
    </xf>
    <xf numFmtId="2" fontId="2" fillId="0" borderId="13" xfId="0" applyNumberFormat="1" applyFont="1" applyBorder="1" applyAlignment="1">
      <alignment horizontal="center" vertical="center"/>
    </xf>
    <xf numFmtId="2" fontId="2" fillId="4" borderId="13" xfId="0" applyNumberFormat="1" applyFont="1" applyFill="1" applyBorder="1" applyAlignment="1">
      <alignment horizontal="center"/>
    </xf>
    <xf numFmtId="165" fontId="2" fillId="4" borderId="13" xfId="0" applyNumberFormat="1" applyFont="1" applyFill="1" applyBorder="1" applyAlignment="1">
      <alignment horizontal="center"/>
    </xf>
    <xf numFmtId="164" fontId="2" fillId="4" borderId="13" xfId="0" applyNumberFormat="1" applyFont="1" applyFill="1" applyBorder="1" applyAlignment="1">
      <alignment horizontal="center"/>
    </xf>
    <xf numFmtId="0" fontId="2" fillId="0" borderId="25" xfId="0" applyFont="1" applyBorder="1" applyAlignment="1">
      <alignment horizontal="left" vertical="center"/>
    </xf>
    <xf numFmtId="2" fontId="2" fillId="0" borderId="84" xfId="0" applyNumberFormat="1" applyFont="1" applyBorder="1" applyAlignment="1">
      <alignment horizontal="center" vertical="center"/>
    </xf>
    <xf numFmtId="1" fontId="3" fillId="4" borderId="14" xfId="0" quotePrefix="1" applyNumberFormat="1" applyFont="1" applyFill="1" applyBorder="1" applyAlignment="1">
      <alignment horizontal="center" vertical="center"/>
    </xf>
    <xf numFmtId="0" fontId="2" fillId="0" borderId="67" xfId="0" applyFont="1" applyBorder="1"/>
    <xf numFmtId="3" fontId="2" fillId="0" borderId="68" xfId="0" applyNumberFormat="1" applyFont="1" applyBorder="1" applyAlignment="1">
      <alignment horizontal="center"/>
    </xf>
    <xf numFmtId="0" fontId="1" fillId="0" borderId="0" xfId="0" applyFont="1" applyAlignment="1">
      <alignment horizontal="left"/>
    </xf>
    <xf numFmtId="0" fontId="2" fillId="0" borderId="12" xfId="0" applyFont="1" applyBorder="1" applyAlignment="1">
      <alignment horizontal="left" wrapText="1"/>
    </xf>
    <xf numFmtId="0" fontId="2" fillId="0" borderId="14" xfId="0" applyFont="1" applyBorder="1"/>
    <xf numFmtId="0" fontId="2" fillId="0" borderId="69" xfId="0" applyFont="1" applyBorder="1"/>
    <xf numFmtId="165" fontId="2" fillId="0" borderId="5" xfId="0" applyNumberFormat="1" applyFont="1" applyBorder="1" applyAlignment="1">
      <alignment horizontal="center" vertical="center"/>
    </xf>
    <xf numFmtId="166" fontId="2" fillId="0" borderId="5" xfId="0" applyNumberFormat="1" applyFont="1" applyBorder="1" applyAlignment="1">
      <alignment horizontal="center" vertical="center"/>
    </xf>
    <xf numFmtId="0" fontId="1" fillId="0" borderId="23" xfId="0" quotePrefix="1" applyFont="1" applyBorder="1" applyAlignment="1">
      <alignment horizontal="center" vertical="center"/>
    </xf>
    <xf numFmtId="0" fontId="1" fillId="0" borderId="33" xfId="0" applyFont="1" applyBorder="1" applyAlignment="1">
      <alignment horizontal="center" vertical="center"/>
    </xf>
    <xf numFmtId="0" fontId="1" fillId="0" borderId="24" xfId="0" applyFont="1" applyBorder="1" applyAlignment="1">
      <alignment horizontal="center" vertical="center"/>
    </xf>
    <xf numFmtId="164" fontId="1" fillId="0" borderId="34" xfId="0" applyNumberFormat="1" applyFont="1" applyBorder="1" applyAlignment="1">
      <alignment horizontal="center" vertical="center"/>
    </xf>
    <xf numFmtId="164" fontId="1" fillId="0" borderId="36" xfId="0" applyNumberFormat="1" applyFont="1" applyBorder="1" applyAlignment="1">
      <alignment horizontal="center" vertical="center"/>
    </xf>
    <xf numFmtId="0" fontId="2" fillId="8" borderId="91" xfId="0" applyFont="1" applyFill="1" applyBorder="1"/>
    <xf numFmtId="0" fontId="2" fillId="8" borderId="31" xfId="0" applyFont="1" applyFill="1" applyBorder="1" applyAlignment="1">
      <alignment horizontal="left" vertical="center"/>
    </xf>
    <xf numFmtId="0" fontId="2" fillId="8" borderId="32" xfId="0" applyFont="1" applyFill="1" applyBorder="1" applyAlignment="1">
      <alignment horizontal="left" vertical="center"/>
    </xf>
    <xf numFmtId="0" fontId="2" fillId="8" borderId="32" xfId="0" applyFont="1" applyFill="1" applyBorder="1" applyAlignment="1">
      <alignment horizontal="center" vertical="center"/>
    </xf>
    <xf numFmtId="0" fontId="2" fillId="8" borderId="10" xfId="0" applyFont="1" applyFill="1" applyBorder="1" applyAlignment="1">
      <alignment horizontal="center" vertical="center"/>
    </xf>
    <xf numFmtId="2" fontId="2" fillId="8" borderId="32" xfId="0" applyNumberFormat="1" applyFont="1" applyFill="1" applyBorder="1" applyAlignment="1">
      <alignment horizontal="center" vertical="center"/>
    </xf>
    <xf numFmtId="1" fontId="2" fillId="8" borderId="32" xfId="0" applyNumberFormat="1" applyFont="1" applyFill="1" applyBorder="1" applyAlignment="1">
      <alignment horizontal="center" vertical="center"/>
    </xf>
    <xf numFmtId="1" fontId="2" fillId="8" borderId="11" xfId="0" applyNumberFormat="1" applyFont="1" applyFill="1" applyBorder="1" applyAlignment="1">
      <alignment horizontal="center" vertical="center"/>
    </xf>
    <xf numFmtId="2" fontId="2" fillId="8" borderId="10" xfId="0" applyNumberFormat="1" applyFont="1" applyFill="1" applyBorder="1" applyAlignment="1">
      <alignment horizontal="center" vertical="center"/>
    </xf>
    <xf numFmtId="2" fontId="2" fillId="8" borderId="51" xfId="0" applyNumberFormat="1" applyFont="1" applyFill="1" applyBorder="1" applyAlignment="1">
      <alignment horizontal="center" vertical="center"/>
    </xf>
    <xf numFmtId="0" fontId="2" fillId="8" borderId="0" xfId="0" applyFont="1" applyFill="1"/>
    <xf numFmtId="2" fontId="2" fillId="8" borderId="47" xfId="0" applyNumberFormat="1" applyFont="1" applyFill="1" applyBorder="1" applyAlignment="1">
      <alignment horizontal="center" vertical="center"/>
    </xf>
    <xf numFmtId="0" fontId="2" fillId="8" borderId="38" xfId="0" applyFont="1" applyFill="1" applyBorder="1" applyAlignment="1">
      <alignment horizontal="center" vertical="center"/>
    </xf>
    <xf numFmtId="1" fontId="2" fillId="8" borderId="40" xfId="0" applyNumberFormat="1" applyFont="1" applyFill="1" applyBorder="1" applyAlignment="1">
      <alignment horizontal="center" vertical="center"/>
    </xf>
    <xf numFmtId="2" fontId="2" fillId="8" borderId="41" xfId="0" applyNumberFormat="1" applyFont="1" applyFill="1" applyBorder="1" applyAlignment="1">
      <alignment horizontal="center" vertical="center"/>
    </xf>
    <xf numFmtId="2" fontId="2" fillId="8" borderId="38" xfId="0" applyNumberFormat="1" applyFont="1" applyFill="1" applyBorder="1" applyAlignment="1">
      <alignment horizontal="center" vertical="center"/>
    </xf>
    <xf numFmtId="2" fontId="2" fillId="8" borderId="44" xfId="0" applyNumberFormat="1" applyFont="1" applyFill="1" applyBorder="1" applyAlignment="1">
      <alignment horizontal="center" vertical="center"/>
    </xf>
    <xf numFmtId="2" fontId="2" fillId="8" borderId="42" xfId="0" applyNumberFormat="1" applyFont="1" applyFill="1" applyBorder="1" applyAlignment="1">
      <alignment horizontal="center" vertical="center"/>
    </xf>
    <xf numFmtId="2" fontId="2" fillId="8" borderId="58" xfId="0" applyNumberFormat="1" applyFont="1" applyFill="1" applyBorder="1" applyAlignment="1">
      <alignment horizontal="center" vertical="center"/>
    </xf>
    <xf numFmtId="2" fontId="2" fillId="8" borderId="39" xfId="0" applyNumberFormat="1" applyFont="1" applyFill="1" applyBorder="1" applyAlignment="1">
      <alignment horizontal="center" vertical="center"/>
    </xf>
    <xf numFmtId="2" fontId="2" fillId="8" borderId="88" xfId="0" applyNumberFormat="1" applyFont="1" applyFill="1" applyBorder="1" applyAlignment="1">
      <alignment horizontal="center" vertical="center"/>
    </xf>
    <xf numFmtId="0" fontId="2" fillId="10" borderId="17" xfId="0" applyFont="1" applyFill="1" applyBorder="1" applyAlignment="1">
      <alignment horizontal="left" vertical="center"/>
    </xf>
    <xf numFmtId="0" fontId="2" fillId="10" borderId="18" xfId="0" applyFont="1" applyFill="1" applyBorder="1" applyAlignment="1">
      <alignment horizontal="center" vertical="center"/>
    </xf>
    <xf numFmtId="0" fontId="2" fillId="10" borderId="89" xfId="0" applyFont="1" applyFill="1" applyBorder="1" applyAlignment="1">
      <alignment horizontal="center" vertical="center"/>
    </xf>
    <xf numFmtId="2" fontId="2" fillId="10" borderId="18" xfId="0" applyNumberFormat="1" applyFont="1" applyFill="1" applyBorder="1" applyAlignment="1">
      <alignment horizontal="center" vertical="center"/>
    </xf>
    <xf numFmtId="1" fontId="2" fillId="10" borderId="18" xfId="0" applyNumberFormat="1" applyFont="1" applyFill="1" applyBorder="1" applyAlignment="1">
      <alignment horizontal="center" vertical="center"/>
    </xf>
    <xf numFmtId="1" fontId="2" fillId="10" borderId="90" xfId="0" applyNumberFormat="1" applyFont="1" applyFill="1" applyBorder="1" applyAlignment="1">
      <alignment horizontal="center" vertical="center"/>
    </xf>
    <xf numFmtId="2" fontId="2" fillId="10" borderId="47" xfId="0" applyNumberFormat="1" applyFont="1" applyFill="1" applyBorder="1" applyAlignment="1">
      <alignment horizontal="center" vertical="center"/>
    </xf>
    <xf numFmtId="2" fontId="2" fillId="10" borderId="32" xfId="0" applyNumberFormat="1" applyFont="1" applyFill="1" applyBorder="1" applyAlignment="1">
      <alignment horizontal="center" vertical="center"/>
    </xf>
    <xf numFmtId="2" fontId="2" fillId="10" borderId="10" xfId="0" applyNumberFormat="1" applyFont="1" applyFill="1" applyBorder="1" applyAlignment="1">
      <alignment horizontal="center" vertical="center"/>
    </xf>
    <xf numFmtId="2" fontId="2" fillId="10" borderId="89" xfId="0" applyNumberFormat="1" applyFont="1" applyFill="1" applyBorder="1" applyAlignment="1">
      <alignment horizontal="center" vertical="center"/>
    </xf>
    <xf numFmtId="2" fontId="2" fillId="10" borderId="58" xfId="0" applyNumberFormat="1" applyFont="1" applyFill="1" applyBorder="1" applyAlignment="1">
      <alignment horizontal="center" vertical="center"/>
    </xf>
    <xf numFmtId="2" fontId="2" fillId="10" borderId="83" xfId="0" applyNumberFormat="1" applyFont="1" applyFill="1" applyBorder="1" applyAlignment="1">
      <alignment horizontal="center" vertical="center"/>
    </xf>
    <xf numFmtId="0" fontId="2" fillId="10" borderId="31" xfId="0" applyFont="1" applyFill="1" applyBorder="1" applyAlignment="1">
      <alignment horizontal="left" vertical="center"/>
    </xf>
    <xf numFmtId="0" fontId="2" fillId="10" borderId="32" xfId="0" applyFont="1" applyFill="1" applyBorder="1" applyAlignment="1">
      <alignment horizontal="left" vertical="center"/>
    </xf>
    <xf numFmtId="0" fontId="2" fillId="10" borderId="32" xfId="0" applyFont="1" applyFill="1" applyBorder="1" applyAlignment="1">
      <alignment horizontal="center" vertical="center"/>
    </xf>
    <xf numFmtId="0" fontId="2" fillId="10" borderId="10" xfId="0" applyFont="1" applyFill="1" applyBorder="1" applyAlignment="1">
      <alignment horizontal="center" vertical="center"/>
    </xf>
    <xf numFmtId="1" fontId="2" fillId="10" borderId="32" xfId="0" applyNumberFormat="1" applyFont="1" applyFill="1" applyBorder="1" applyAlignment="1">
      <alignment horizontal="center" vertical="center"/>
    </xf>
    <xf numFmtId="1" fontId="2" fillId="10" borderId="11" xfId="0" applyNumberFormat="1" applyFont="1" applyFill="1" applyBorder="1" applyAlignment="1">
      <alignment horizontal="center" vertical="center"/>
    </xf>
    <xf numFmtId="2" fontId="2" fillId="10" borderId="0" xfId="0" applyNumberFormat="1" applyFont="1" applyFill="1" applyAlignment="1">
      <alignment horizontal="center" vertical="center"/>
    </xf>
    <xf numFmtId="2" fontId="2" fillId="10" borderId="51" xfId="0" applyNumberFormat="1" applyFont="1" applyFill="1" applyBorder="1" applyAlignment="1">
      <alignment horizontal="center" vertical="center"/>
    </xf>
    <xf numFmtId="0" fontId="2" fillId="11" borderId="32" xfId="0" applyFont="1" applyFill="1" applyBorder="1" applyAlignment="1">
      <alignment horizontal="center" vertical="center"/>
    </xf>
    <xf numFmtId="164" fontId="2" fillId="11" borderId="32" xfId="0" applyNumberFormat="1" applyFont="1" applyFill="1" applyBorder="1" applyAlignment="1">
      <alignment horizontal="center" vertical="center"/>
    </xf>
    <xf numFmtId="0" fontId="2" fillId="10" borderId="33" xfId="0" applyFont="1" applyFill="1" applyBorder="1" applyAlignment="1">
      <alignment horizontal="center" vertical="center"/>
    </xf>
    <xf numFmtId="2" fontId="2" fillId="10" borderId="52" xfId="0" applyNumberFormat="1" applyFont="1" applyFill="1" applyBorder="1" applyAlignment="1">
      <alignment horizontal="center" vertical="center"/>
    </xf>
    <xf numFmtId="2" fontId="2" fillId="10" borderId="23" xfId="0" applyNumberFormat="1" applyFont="1" applyFill="1" applyBorder="1" applyAlignment="1">
      <alignment horizontal="center" vertical="center"/>
    </xf>
    <xf numFmtId="2" fontId="2" fillId="10" borderId="33" xfId="0" applyNumberFormat="1" applyFont="1" applyFill="1" applyBorder="1" applyAlignment="1">
      <alignment horizontal="center" vertical="center"/>
    </xf>
    <xf numFmtId="2" fontId="2" fillId="10" borderId="24" xfId="0" applyNumberFormat="1" applyFont="1" applyFill="1" applyBorder="1" applyAlignment="1">
      <alignment horizontal="center" vertical="center"/>
    </xf>
    <xf numFmtId="2" fontId="2" fillId="10" borderId="73" xfId="0" applyNumberFormat="1" applyFont="1" applyFill="1" applyBorder="1" applyAlignment="1">
      <alignment horizontal="center" vertical="center"/>
    </xf>
    <xf numFmtId="2" fontId="2" fillId="10" borderId="9" xfId="0" applyNumberFormat="1" applyFont="1" applyFill="1" applyBorder="1" applyAlignment="1">
      <alignment horizontal="center" vertical="center"/>
    </xf>
    <xf numFmtId="2" fontId="2" fillId="10" borderId="35" xfId="0" applyNumberFormat="1" applyFont="1" applyFill="1" applyBorder="1" applyAlignment="1">
      <alignment horizontal="center" vertical="center"/>
    </xf>
    <xf numFmtId="2" fontId="2" fillId="10" borderId="41" xfId="0" applyNumberFormat="1" applyFont="1" applyFill="1" applyBorder="1" applyAlignment="1">
      <alignment horizontal="center" vertical="center"/>
    </xf>
    <xf numFmtId="2" fontId="2" fillId="10" borderId="39" xfId="0" applyNumberFormat="1" applyFont="1" applyFill="1" applyBorder="1" applyAlignment="1">
      <alignment horizontal="center" vertical="center"/>
    </xf>
    <xf numFmtId="2" fontId="2" fillId="10" borderId="42" xfId="0" applyNumberFormat="1" applyFont="1" applyFill="1" applyBorder="1" applyAlignment="1">
      <alignment horizontal="center" vertical="center"/>
    </xf>
    <xf numFmtId="0" fontId="2" fillId="11" borderId="33" xfId="0" applyFont="1" applyFill="1" applyBorder="1" applyAlignment="1">
      <alignment horizontal="center" vertical="center"/>
    </xf>
    <xf numFmtId="164" fontId="2" fillId="11" borderId="33" xfId="0" applyNumberFormat="1" applyFont="1" applyFill="1" applyBorder="1" applyAlignment="1">
      <alignment horizontal="center" vertical="center"/>
    </xf>
    <xf numFmtId="164" fontId="2" fillId="11" borderId="10" xfId="0" applyNumberFormat="1" applyFont="1" applyFill="1" applyBorder="1" applyAlignment="1">
      <alignment horizontal="center" vertical="center"/>
    </xf>
    <xf numFmtId="0" fontId="2" fillId="10" borderId="92" xfId="0" applyFont="1" applyFill="1" applyBorder="1" applyAlignment="1">
      <alignment horizontal="left" vertical="center"/>
    </xf>
    <xf numFmtId="0" fontId="2" fillId="10" borderId="23" xfId="0" applyFont="1" applyFill="1" applyBorder="1" applyAlignment="1">
      <alignment horizontal="left" vertical="center"/>
    </xf>
    <xf numFmtId="0" fontId="2" fillId="10" borderId="33" xfId="0" applyFont="1" applyFill="1" applyBorder="1" applyAlignment="1">
      <alignment horizontal="left" vertical="center"/>
    </xf>
    <xf numFmtId="0" fontId="2" fillId="10" borderId="34" xfId="0" applyFont="1" applyFill="1" applyBorder="1" applyAlignment="1">
      <alignment horizontal="center" vertical="center"/>
    </xf>
    <xf numFmtId="0" fontId="2" fillId="10" borderId="23" xfId="0" applyFont="1" applyFill="1" applyBorder="1" applyAlignment="1">
      <alignment horizontal="center" vertical="center"/>
    </xf>
    <xf numFmtId="1" fontId="2" fillId="10" borderId="49" xfId="0" applyNumberFormat="1" applyFont="1" applyFill="1" applyBorder="1" applyAlignment="1">
      <alignment horizontal="center" vertical="center"/>
    </xf>
    <xf numFmtId="2" fontId="2" fillId="10" borderId="50" xfId="0" applyNumberFormat="1" applyFont="1" applyFill="1" applyBorder="1" applyAlignment="1">
      <alignment horizontal="center" vertical="center"/>
    </xf>
    <xf numFmtId="0" fontId="2" fillId="10" borderId="45" xfId="0" applyFont="1" applyFill="1" applyBorder="1" applyAlignment="1">
      <alignment horizontal="left" vertical="center"/>
    </xf>
    <xf numFmtId="0" fontId="2" fillId="10" borderId="10" xfId="0" applyFont="1" applyFill="1" applyBorder="1" applyAlignment="1">
      <alignment horizontal="left" vertical="center"/>
    </xf>
    <xf numFmtId="0" fontId="2" fillId="11" borderId="35" xfId="0" applyFont="1" applyFill="1" applyBorder="1" applyAlignment="1">
      <alignment horizontal="center" vertical="center"/>
    </xf>
    <xf numFmtId="0" fontId="2" fillId="11" borderId="0" xfId="0" applyFont="1" applyFill="1" applyAlignment="1">
      <alignment horizontal="center" vertical="center"/>
    </xf>
    <xf numFmtId="0" fontId="1" fillId="10" borderId="32" xfId="0" applyFont="1" applyFill="1" applyBorder="1" applyAlignment="1">
      <alignment horizontal="center" vertical="center"/>
    </xf>
    <xf numFmtId="0" fontId="2" fillId="8" borderId="10" xfId="0" applyFont="1" applyFill="1" applyBorder="1" applyAlignment="1">
      <alignment horizontal="left" vertical="center"/>
    </xf>
    <xf numFmtId="0" fontId="2" fillId="8" borderId="0" xfId="0" applyFont="1" applyFill="1" applyAlignment="1">
      <alignment horizontal="left" vertical="center"/>
    </xf>
    <xf numFmtId="0" fontId="2" fillId="9" borderId="32" xfId="0" applyFont="1" applyFill="1" applyBorder="1" applyAlignment="1">
      <alignment horizontal="center" vertical="center"/>
    </xf>
    <xf numFmtId="164" fontId="2" fillId="8" borderId="32" xfId="0" applyNumberFormat="1" applyFont="1" applyFill="1" applyBorder="1" applyAlignment="1">
      <alignment horizontal="center" vertical="center"/>
    </xf>
    <xf numFmtId="2" fontId="2" fillId="8" borderId="35" xfId="0" applyNumberFormat="1" applyFont="1" applyFill="1" applyBorder="1" applyAlignment="1">
      <alignment horizontal="center" vertical="center"/>
    </xf>
    <xf numFmtId="0" fontId="2" fillId="12" borderId="0" xfId="0" applyFont="1" applyFill="1"/>
    <xf numFmtId="0" fontId="1" fillId="10" borderId="31" xfId="0" applyFont="1" applyFill="1" applyBorder="1" applyAlignment="1">
      <alignment horizontal="right" vertical="center"/>
    </xf>
    <xf numFmtId="0" fontId="1" fillId="10" borderId="0" xfId="0" applyFont="1" applyFill="1" applyAlignment="1">
      <alignment horizontal="left" vertical="center"/>
    </xf>
    <xf numFmtId="164" fontId="1" fillId="10" borderId="32" xfId="0" applyNumberFormat="1" applyFont="1" applyFill="1" applyBorder="1" applyAlignment="1">
      <alignment horizontal="center" vertical="center"/>
    </xf>
    <xf numFmtId="0" fontId="1" fillId="10" borderId="11" xfId="0" applyFont="1" applyFill="1" applyBorder="1" applyAlignment="1">
      <alignment horizontal="center" vertical="center"/>
    </xf>
    <xf numFmtId="0" fontId="2" fillId="10" borderId="0" xfId="0" applyFont="1" applyFill="1"/>
    <xf numFmtId="4" fontId="1" fillId="10" borderId="32" xfId="0" applyNumberFormat="1" applyFont="1" applyFill="1" applyBorder="1" applyAlignment="1">
      <alignment horizontal="center" vertical="center"/>
    </xf>
    <xf numFmtId="0" fontId="2" fillId="0" borderId="12" xfId="0" applyFont="1" applyFill="1" applyBorder="1" applyAlignment="1">
      <alignment horizontal="left" vertical="center"/>
    </xf>
    <xf numFmtId="0" fontId="2" fillId="4" borderId="0" xfId="0" applyFont="1" applyFill="1"/>
    <xf numFmtId="0" fontId="2" fillId="0" borderId="0" xfId="0" applyFont="1" applyFill="1"/>
    <xf numFmtId="0" fontId="2" fillId="0" borderId="13" xfId="0" applyFont="1" applyFill="1" applyBorder="1" applyAlignment="1">
      <alignment horizontal="center" vertical="center"/>
    </xf>
    <xf numFmtId="166" fontId="2" fillId="0" borderId="13" xfId="0" applyNumberFormat="1" applyFont="1" applyFill="1" applyBorder="1" applyAlignment="1">
      <alignment horizontal="center" vertical="center"/>
    </xf>
    <xf numFmtId="164" fontId="3" fillId="0" borderId="13" xfId="0" applyNumberFormat="1" applyFont="1" applyFill="1" applyBorder="1" applyAlignment="1">
      <alignment horizontal="center" vertical="center"/>
    </xf>
    <xf numFmtId="0" fontId="2" fillId="0" borderId="13" xfId="0" applyFont="1" applyFill="1" applyBorder="1" applyAlignment="1">
      <alignment horizontal="center"/>
    </xf>
    <xf numFmtId="4" fontId="1" fillId="10" borderId="51" xfId="0" applyNumberFormat="1" applyFont="1" applyFill="1" applyBorder="1" applyAlignment="1">
      <alignment horizontal="center" vertical="center"/>
    </xf>
    <xf numFmtId="0" fontId="2" fillId="0" borderId="91" xfId="0" applyFont="1" applyFill="1" applyBorder="1"/>
    <xf numFmtId="168" fontId="2" fillId="0" borderId="0" xfId="0" applyNumberFormat="1" applyFont="1" applyAlignment="1">
      <alignment horizontal="center" vertical="center"/>
    </xf>
    <xf numFmtId="0" fontId="8" fillId="0" borderId="0" xfId="0" applyFont="1"/>
    <xf numFmtId="0" fontId="7" fillId="0" borderId="71" xfId="1" applyBorder="1" applyAlignment="1">
      <alignment wrapText="1"/>
    </xf>
    <xf numFmtId="167" fontId="3" fillId="0" borderId="14" xfId="0" quotePrefix="1" applyNumberFormat="1" applyFont="1" applyFill="1" applyBorder="1" applyAlignment="1">
      <alignment horizontal="center" vertical="center"/>
    </xf>
    <xf numFmtId="11" fontId="2" fillId="0"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165" fontId="9" fillId="0" borderId="13" xfId="0" applyNumberFormat="1" applyFont="1" applyFill="1" applyBorder="1" applyAlignment="1">
      <alignment horizontal="center"/>
    </xf>
    <xf numFmtId="164" fontId="2" fillId="11" borderId="38" xfId="0" applyNumberFormat="1" applyFont="1" applyFill="1" applyBorder="1" applyAlignment="1">
      <alignment horizontal="center" vertical="center"/>
    </xf>
    <xf numFmtId="0" fontId="2" fillId="10" borderId="39" xfId="0" applyFont="1" applyFill="1" applyBorder="1" applyAlignment="1">
      <alignment horizontal="left" vertical="center"/>
    </xf>
    <xf numFmtId="0" fontId="2" fillId="10" borderId="72" xfId="0" applyFont="1" applyFill="1" applyBorder="1" applyAlignment="1">
      <alignment horizontal="left" vertical="center"/>
    </xf>
    <xf numFmtId="0" fontId="2" fillId="10" borderId="38" xfId="0" applyFont="1" applyFill="1" applyBorder="1" applyAlignment="1">
      <alignment horizontal="center" vertical="center"/>
    </xf>
    <xf numFmtId="0" fontId="2" fillId="8" borderId="38" xfId="0" applyFont="1" applyFill="1" applyBorder="1" applyAlignment="1">
      <alignment horizontal="left" vertical="center"/>
    </xf>
    <xf numFmtId="0" fontId="2" fillId="0" borderId="0" xfId="0" applyFont="1" applyFill="1" applyBorder="1"/>
    <xf numFmtId="0" fontId="2" fillId="0" borderId="0" xfId="0" applyFont="1" applyBorder="1"/>
    <xf numFmtId="0" fontId="1" fillId="7" borderId="27" xfId="0" applyFont="1" applyFill="1" applyBorder="1" applyAlignment="1">
      <alignment horizontal="center" vertical="center"/>
    </xf>
    <xf numFmtId="0" fontId="1" fillId="7" borderId="23" xfId="0" quotePrefix="1" applyFont="1" applyFill="1" applyBorder="1" applyAlignment="1">
      <alignment horizontal="center" vertical="center"/>
    </xf>
    <xf numFmtId="0" fontId="2" fillId="10" borderId="89" xfId="0" applyFont="1" applyFill="1" applyBorder="1" applyAlignment="1">
      <alignment horizontal="left" vertical="center"/>
    </xf>
    <xf numFmtId="0" fontId="1" fillId="0" borderId="13" xfId="0" applyFont="1" applyBorder="1" applyAlignment="1">
      <alignment horizontal="center" vertical="center" wrapText="1"/>
    </xf>
    <xf numFmtId="0" fontId="1" fillId="8" borderId="38" xfId="0" applyFont="1" applyFill="1" applyBorder="1" applyAlignment="1">
      <alignment horizontal="center" vertical="center"/>
    </xf>
    <xf numFmtId="164" fontId="1" fillId="8" borderId="38" xfId="0" applyNumberFormat="1" applyFont="1" applyFill="1" applyBorder="1" applyAlignment="1">
      <alignment horizontal="center" vertical="center"/>
    </xf>
    <xf numFmtId="0" fontId="1" fillId="8" borderId="40" xfId="0" applyFont="1" applyFill="1" applyBorder="1" applyAlignment="1">
      <alignment horizontal="center" vertical="center"/>
    </xf>
    <xf numFmtId="4" fontId="1" fillId="8" borderId="38" xfId="0" applyNumberFormat="1" applyFont="1" applyFill="1" applyBorder="1" applyAlignment="1">
      <alignment horizontal="center" vertical="center"/>
    </xf>
    <xf numFmtId="2" fontId="1" fillId="0" borderId="13" xfId="0" applyNumberFormat="1" applyFont="1" applyBorder="1" applyAlignment="1">
      <alignment horizontal="center" vertical="center"/>
    </xf>
    <xf numFmtId="0" fontId="1" fillId="8" borderId="27" xfId="0" applyFont="1" applyFill="1" applyBorder="1" applyAlignment="1">
      <alignment horizontal="right" vertical="center"/>
    </xf>
    <xf numFmtId="0" fontId="1" fillId="8" borderId="46" xfId="0" applyFont="1" applyFill="1" applyBorder="1" applyAlignment="1">
      <alignment horizontal="left" vertical="center"/>
    </xf>
    <xf numFmtId="4" fontId="1" fillId="0" borderId="13" xfId="0" applyNumberFormat="1" applyFont="1" applyBorder="1" applyAlignment="1">
      <alignment horizontal="center"/>
    </xf>
    <xf numFmtId="2" fontId="1" fillId="0" borderId="100" xfId="0" applyNumberFormat="1" applyFont="1" applyBorder="1" applyAlignment="1">
      <alignment horizontal="center"/>
    </xf>
    <xf numFmtId="4" fontId="1" fillId="8" borderId="27" xfId="0" applyNumberFormat="1" applyFont="1" applyFill="1" applyBorder="1" applyAlignment="1">
      <alignment horizontal="center" vertical="center"/>
    </xf>
    <xf numFmtId="4" fontId="1" fillId="8" borderId="13" xfId="0" applyNumberFormat="1" applyFont="1" applyFill="1" applyBorder="1" applyAlignment="1">
      <alignment horizontal="center" vertical="center"/>
    </xf>
    <xf numFmtId="4" fontId="1" fillId="8" borderId="100" xfId="0" applyNumberFormat="1" applyFont="1" applyFill="1" applyBorder="1" applyAlignment="1">
      <alignment horizontal="center" vertical="center"/>
    </xf>
    <xf numFmtId="0" fontId="2" fillId="10" borderId="91" xfId="0" applyFont="1" applyFill="1" applyBorder="1" applyAlignment="1">
      <alignment horizontal="left" vertical="center"/>
    </xf>
    <xf numFmtId="0" fontId="2" fillId="10" borderId="0" xfId="0" applyFont="1" applyFill="1" applyBorder="1" applyAlignment="1">
      <alignment horizontal="left" vertical="center"/>
    </xf>
    <xf numFmtId="164" fontId="2" fillId="0" borderId="0" xfId="0" applyNumberFormat="1" applyFont="1" applyAlignment="1">
      <alignment horizontal="left" vertical="center" wrapText="1"/>
    </xf>
    <xf numFmtId="164" fontId="1" fillId="0" borderId="96" xfId="0" applyNumberFormat="1" applyFont="1" applyBorder="1" applyAlignment="1">
      <alignment horizontal="center" vertical="center" wrapText="1"/>
    </xf>
    <xf numFmtId="164" fontId="2" fillId="0" borderId="71" xfId="0" applyNumberFormat="1" applyFont="1" applyBorder="1" applyAlignment="1">
      <alignment horizontal="left" vertical="center" wrapText="1"/>
    </xf>
    <xf numFmtId="164" fontId="2" fillId="6" borderId="71" xfId="0" applyNumberFormat="1" applyFont="1" applyFill="1" applyBorder="1" applyAlignment="1">
      <alignment horizontal="left" vertical="center" wrapText="1"/>
    </xf>
    <xf numFmtId="164" fontId="7" fillId="0" borderId="71" xfId="1" applyNumberFormat="1" applyBorder="1" applyAlignment="1">
      <alignment horizontal="left" vertical="center" wrapText="1"/>
    </xf>
    <xf numFmtId="164" fontId="7" fillId="4" borderId="71" xfId="1" applyNumberFormat="1" applyFill="1" applyBorder="1" applyAlignment="1">
      <alignment horizontal="left" vertical="center" wrapText="1"/>
    </xf>
    <xf numFmtId="0" fontId="7" fillId="0" borderId="0" xfId="1" applyAlignment="1">
      <alignment wrapText="1"/>
    </xf>
    <xf numFmtId="0" fontId="7" fillId="0" borderId="97" xfId="1" applyBorder="1" applyAlignment="1">
      <alignment wrapText="1"/>
    </xf>
    <xf numFmtId="0" fontId="2" fillId="0" borderId="0" xfId="0" applyFont="1" applyAlignment="1">
      <alignment horizontal="left" wrapText="1"/>
    </xf>
    <xf numFmtId="2" fontId="2" fillId="4" borderId="13" xfId="0" applyNumberFormat="1" applyFont="1" applyFill="1" applyBorder="1" applyAlignment="1">
      <alignment horizontal="center" vertical="center"/>
    </xf>
    <xf numFmtId="165" fontId="9" fillId="4" borderId="13" xfId="0" applyNumberFormat="1" applyFont="1" applyFill="1" applyBorder="1" applyAlignment="1">
      <alignment horizontal="center"/>
    </xf>
    <xf numFmtId="0" fontId="2" fillId="0" borderId="69" xfId="0" applyFont="1" applyBorder="1" applyAlignment="1">
      <alignment horizontal="center"/>
    </xf>
    <xf numFmtId="0" fontId="7" fillId="0" borderId="71" xfId="1" applyBorder="1" applyAlignment="1">
      <alignment vertical="center" wrapText="1"/>
    </xf>
    <xf numFmtId="0" fontId="1" fillId="0" borderId="64" xfId="0" applyFont="1" applyBorder="1" applyAlignment="1">
      <alignment horizontal="center"/>
    </xf>
    <xf numFmtId="0" fontId="1" fillId="0" borderId="65" xfId="0" applyFont="1" applyBorder="1" applyAlignment="1">
      <alignment horizontal="center"/>
    </xf>
    <xf numFmtId="0" fontId="1" fillId="0" borderId="66" xfId="0" applyFont="1" applyBorder="1" applyAlignment="1">
      <alignment horizontal="center"/>
    </xf>
    <xf numFmtId="0" fontId="2" fillId="0" borderId="12" xfId="0" applyFont="1" applyBorder="1"/>
    <xf numFmtId="1" fontId="2" fillId="0" borderId="68" xfId="0" applyNumberFormat="1" applyFont="1" applyBorder="1" applyAlignment="1">
      <alignment horizontal="center"/>
    </xf>
    <xf numFmtId="0" fontId="9" fillId="4" borderId="13" xfId="0" applyFont="1" applyFill="1" applyBorder="1" applyAlignment="1">
      <alignment horizontal="center" vertical="center"/>
    </xf>
    <xf numFmtId="0" fontId="9" fillId="0" borderId="13" xfId="0" applyFont="1" applyFill="1" applyBorder="1" applyAlignment="1">
      <alignment horizontal="center" vertical="center"/>
    </xf>
    <xf numFmtId="1" fontId="1" fillId="0" borderId="61" xfId="0" applyNumberFormat="1" applyFont="1" applyFill="1" applyBorder="1" applyAlignment="1">
      <alignment horizontal="center" vertical="center"/>
    </xf>
    <xf numFmtId="2" fontId="1" fillId="0" borderId="61" xfId="0" applyNumberFormat="1" applyFont="1" applyFill="1" applyBorder="1" applyAlignment="1">
      <alignment horizontal="center" vertical="center"/>
    </xf>
    <xf numFmtId="2" fontId="2" fillId="8" borderId="34" xfId="0" applyNumberFormat="1" applyFont="1" applyFill="1" applyBorder="1" applyAlignment="1">
      <alignment horizontal="center" vertical="center"/>
    </xf>
    <xf numFmtId="2" fontId="2" fillId="8" borderId="73" xfId="0" applyNumberFormat="1" applyFont="1" applyFill="1" applyBorder="1" applyAlignment="1">
      <alignment horizontal="center" vertical="center"/>
    </xf>
    <xf numFmtId="2" fontId="2" fillId="0" borderId="43" xfId="0" applyNumberFormat="1" applyFont="1" applyBorder="1" applyAlignment="1">
      <alignment horizontal="center" vertical="center"/>
    </xf>
    <xf numFmtId="2" fontId="2" fillId="0" borderId="33" xfId="0" applyNumberFormat="1" applyFont="1" applyBorder="1" applyAlignment="1">
      <alignment horizontal="center" vertical="center"/>
    </xf>
    <xf numFmtId="2" fontId="2" fillId="0" borderId="12" xfId="0" applyNumberFormat="1" applyFont="1" applyBorder="1" applyAlignment="1">
      <alignment horizontal="center" vertical="center"/>
    </xf>
    <xf numFmtId="2" fontId="2" fillId="0" borderId="100" xfId="0" applyNumberFormat="1" applyFont="1" applyBorder="1" applyAlignment="1">
      <alignment horizontal="center" vertical="center"/>
    </xf>
    <xf numFmtId="0" fontId="2" fillId="8" borderId="33" xfId="0" applyFont="1" applyFill="1" applyBorder="1" applyAlignment="1">
      <alignment horizontal="left" vertical="center"/>
    </xf>
    <xf numFmtId="0" fontId="2" fillId="10" borderId="48" xfId="0" applyFont="1" applyFill="1" applyBorder="1" applyAlignment="1">
      <alignment horizontal="left" vertical="center"/>
    </xf>
    <xf numFmtId="1" fontId="2" fillId="10" borderId="40" xfId="0" applyNumberFormat="1" applyFont="1" applyFill="1" applyBorder="1" applyAlignment="1">
      <alignment horizontal="center" vertical="center"/>
    </xf>
    <xf numFmtId="2" fontId="2" fillId="10" borderId="38" xfId="0" applyNumberFormat="1" applyFont="1" applyFill="1" applyBorder="1" applyAlignment="1">
      <alignment horizontal="center" vertical="center"/>
    </xf>
    <xf numFmtId="2" fontId="2" fillId="10" borderId="44" xfId="0" applyNumberFormat="1" applyFont="1" applyFill="1" applyBorder="1" applyAlignment="1">
      <alignment horizontal="center" vertical="center"/>
    </xf>
    <xf numFmtId="2" fontId="2" fillId="10" borderId="43" xfId="0" applyNumberFormat="1" applyFont="1" applyFill="1" applyBorder="1" applyAlignment="1">
      <alignment horizontal="center" vertical="center"/>
    </xf>
    <xf numFmtId="2" fontId="2" fillId="0" borderId="72" xfId="0" applyNumberFormat="1" applyFont="1" applyBorder="1" applyAlignment="1">
      <alignment horizontal="center" vertical="center"/>
    </xf>
    <xf numFmtId="0" fontId="2" fillId="0" borderId="31" xfId="0" applyFont="1" applyFill="1" applyBorder="1" applyAlignment="1">
      <alignment horizontal="left" vertical="center"/>
    </xf>
    <xf numFmtId="2" fontId="2" fillId="8" borderId="52" xfId="0" applyNumberFormat="1" applyFont="1" applyFill="1" applyBorder="1" applyAlignment="1">
      <alignment horizontal="center" vertical="center"/>
    </xf>
    <xf numFmtId="2" fontId="2" fillId="8" borderId="33" xfId="0" applyNumberFormat="1" applyFont="1" applyFill="1" applyBorder="1" applyAlignment="1">
      <alignment horizontal="center" vertical="center"/>
    </xf>
    <xf numFmtId="0" fontId="2" fillId="0" borderId="0" xfId="0" applyFont="1" applyBorder="1" applyAlignment="1">
      <alignment horizontal="left" vertical="center"/>
    </xf>
    <xf numFmtId="0" fontId="1" fillId="7" borderId="39" xfId="0" quotePrefix="1" applyFont="1" applyFill="1" applyBorder="1" applyAlignment="1">
      <alignment horizontal="center" vertical="center"/>
    </xf>
    <xf numFmtId="164" fontId="2" fillId="7" borderId="38" xfId="0" applyNumberFormat="1" applyFont="1" applyFill="1" applyBorder="1" applyAlignment="1">
      <alignment horizontal="center" vertical="center"/>
    </xf>
    <xf numFmtId="164" fontId="2" fillId="7" borderId="40" xfId="0" applyNumberFormat="1" applyFont="1" applyFill="1" applyBorder="1" applyAlignment="1">
      <alignment horizontal="center" vertical="center"/>
    </xf>
    <xf numFmtId="2" fontId="2" fillId="0" borderId="41" xfId="0" applyNumberFormat="1" applyFont="1" applyBorder="1" applyAlignment="1">
      <alignment horizontal="center" vertical="center"/>
    </xf>
    <xf numFmtId="2" fontId="2" fillId="0" borderId="88" xfId="0" applyNumberFormat="1" applyFont="1" applyBorder="1" applyAlignment="1">
      <alignment horizontal="center" vertical="center"/>
    </xf>
    <xf numFmtId="0" fontId="2" fillId="8" borderId="26" xfId="0" applyFont="1" applyFill="1" applyBorder="1" applyAlignment="1">
      <alignment horizontal="left" vertical="center"/>
    </xf>
    <xf numFmtId="0" fontId="2" fillId="8" borderId="27" xfId="0" applyFont="1" applyFill="1" applyBorder="1" applyAlignment="1">
      <alignment horizontal="left" vertical="center"/>
    </xf>
    <xf numFmtId="0" fontId="2" fillId="8" borderId="27" xfId="0" applyFont="1" applyFill="1" applyBorder="1" applyAlignment="1">
      <alignment horizontal="center" vertical="center"/>
    </xf>
    <xf numFmtId="0" fontId="2" fillId="8" borderId="13" xfId="0" applyFont="1" applyFill="1" applyBorder="1" applyAlignment="1">
      <alignment horizontal="center" vertical="center"/>
    </xf>
    <xf numFmtId="2" fontId="2" fillId="8" borderId="27" xfId="0" applyNumberFormat="1" applyFont="1" applyFill="1" applyBorder="1" applyAlignment="1">
      <alignment horizontal="center" vertical="center"/>
    </xf>
    <xf numFmtId="1" fontId="2" fillId="8" borderId="27" xfId="0" applyNumberFormat="1" applyFont="1" applyFill="1" applyBorder="1" applyAlignment="1">
      <alignment horizontal="center" vertical="center"/>
    </xf>
    <xf numFmtId="1" fontId="2" fillId="8" borderId="14" xfId="0" applyNumberFormat="1" applyFont="1" applyFill="1" applyBorder="1" applyAlignment="1">
      <alignment horizontal="center" vertical="center"/>
    </xf>
    <xf numFmtId="2" fontId="2" fillId="8" borderId="84" xfId="0" applyNumberFormat="1" applyFont="1" applyFill="1" applyBorder="1" applyAlignment="1">
      <alignment horizontal="center" vertical="center"/>
    </xf>
    <xf numFmtId="2" fontId="2" fillId="8" borderId="13" xfId="0" applyNumberFormat="1" applyFont="1" applyFill="1" applyBorder="1" applyAlignment="1">
      <alignment horizontal="center" vertical="center"/>
    </xf>
    <xf numFmtId="2" fontId="2" fillId="8" borderId="28" xfId="0" applyNumberFormat="1" applyFont="1" applyFill="1" applyBorder="1" applyAlignment="1">
      <alignment horizontal="center" vertical="center"/>
    </xf>
    <xf numFmtId="2" fontId="2" fillId="8" borderId="100" xfId="0" applyNumberFormat="1" applyFont="1" applyFill="1" applyBorder="1" applyAlignment="1">
      <alignment horizontal="center" vertical="center"/>
    </xf>
    <xf numFmtId="0" fontId="2" fillId="0" borderId="27" xfId="0" applyFont="1" applyBorder="1" applyAlignment="1">
      <alignment horizontal="right" vertical="center"/>
    </xf>
    <xf numFmtId="2" fontId="2" fillId="0" borderId="27" xfId="0" applyNumberFormat="1" applyFont="1" applyBorder="1" applyAlignment="1">
      <alignment horizontal="center" vertical="center"/>
    </xf>
    <xf numFmtId="2" fontId="2" fillId="0" borderId="12" xfId="0" applyNumberFormat="1" applyFont="1" applyBorder="1"/>
    <xf numFmtId="2" fontId="2" fillId="0" borderId="13" xfId="0" applyNumberFormat="1" applyFont="1" applyBorder="1"/>
    <xf numFmtId="2" fontId="2" fillId="0" borderId="100" xfId="0" applyNumberFormat="1" applyFont="1" applyBorder="1"/>
    <xf numFmtId="0" fontId="1" fillId="10" borderId="39" xfId="0" applyFont="1" applyFill="1" applyBorder="1" applyAlignment="1">
      <alignment horizontal="left" vertical="center"/>
    </xf>
    <xf numFmtId="2" fontId="2" fillId="10" borderId="88" xfId="0" applyNumberFormat="1" applyFont="1" applyFill="1" applyBorder="1" applyAlignment="1">
      <alignment horizontal="center" vertical="center"/>
    </xf>
    <xf numFmtId="0" fontId="1" fillId="2" borderId="33" xfId="0" quotePrefix="1" applyFont="1" applyFill="1" applyBorder="1" applyAlignment="1">
      <alignment horizontal="center" vertical="center"/>
    </xf>
    <xf numFmtId="0" fontId="1" fillId="0" borderId="49" xfId="0" applyFont="1" applyBorder="1" applyAlignment="1">
      <alignment horizontal="center" vertical="center"/>
    </xf>
    <xf numFmtId="2" fontId="2" fillId="0" borderId="24" xfId="0" applyNumberFormat="1" applyFont="1" applyBorder="1" applyAlignment="1">
      <alignment horizontal="center" vertical="center"/>
    </xf>
    <xf numFmtId="0" fontId="2" fillId="0" borderId="92" xfId="0" applyFont="1" applyBorder="1" applyAlignment="1">
      <alignment horizontal="left" vertical="center" wrapText="1"/>
    </xf>
    <xf numFmtId="0" fontId="2" fillId="0" borderId="45" xfId="0" applyFont="1" applyBorder="1" applyAlignment="1">
      <alignment horizontal="left" vertical="center" wrapText="1"/>
    </xf>
    <xf numFmtId="0" fontId="1" fillId="0" borderId="33" xfId="0" applyFont="1" applyBorder="1" applyAlignment="1">
      <alignment horizontal="left" vertical="center"/>
    </xf>
    <xf numFmtId="0" fontId="1" fillId="0" borderId="13" xfId="0" applyFont="1" applyBorder="1" applyAlignment="1">
      <alignment horizontal="left" vertical="center"/>
    </xf>
    <xf numFmtId="0" fontId="1" fillId="0" borderId="39" xfId="0" applyFont="1" applyBorder="1" applyAlignment="1">
      <alignment horizontal="left" vertical="center"/>
    </xf>
    <xf numFmtId="2" fontId="2" fillId="10" borderId="39" xfId="0" quotePrefix="1" applyNumberFormat="1" applyFont="1" applyFill="1" applyBorder="1" applyAlignment="1">
      <alignment horizontal="center" vertical="center"/>
    </xf>
    <xf numFmtId="164" fontId="5" fillId="4" borderId="13" xfId="0" applyNumberFormat="1" applyFont="1" applyFill="1" applyBorder="1" applyAlignment="1">
      <alignment horizontal="center"/>
    </xf>
    <xf numFmtId="164" fontId="5" fillId="0" borderId="13" xfId="0" applyNumberFormat="1" applyFont="1" applyFill="1" applyBorder="1" applyAlignment="1">
      <alignment horizontal="center"/>
    </xf>
    <xf numFmtId="0" fontId="2" fillId="0" borderId="16" xfId="0" quotePrefix="1" applyFont="1" applyBorder="1" applyAlignment="1">
      <alignment horizontal="center"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xf>
    <xf numFmtId="0" fontId="1" fillId="0" borderId="0" xfId="0" applyFont="1" applyBorder="1" applyAlignment="1">
      <alignment horizontal="center"/>
    </xf>
    <xf numFmtId="0" fontId="3" fillId="0" borderId="82" xfId="0" applyFont="1" applyBorder="1" applyAlignment="1">
      <alignment horizontal="left" vertical="center"/>
    </xf>
    <xf numFmtId="2" fontId="2" fillId="0" borderId="35" xfId="0" applyNumberFormat="1" applyFont="1" applyBorder="1" applyAlignment="1">
      <alignment horizontal="center" vertical="center"/>
    </xf>
    <xf numFmtId="2" fontId="2" fillId="0" borderId="50" xfId="0" applyNumberFormat="1" applyFont="1" applyBorder="1" applyAlignment="1">
      <alignment horizontal="center" vertical="center"/>
    </xf>
    <xf numFmtId="2" fontId="1" fillId="0" borderId="12" xfId="0" applyNumberFormat="1" applyFont="1" applyBorder="1" applyAlignment="1">
      <alignment horizontal="center" vertical="center"/>
    </xf>
    <xf numFmtId="2" fontId="2" fillId="10" borderId="105" xfId="0" applyNumberFormat="1" applyFont="1" applyFill="1" applyBorder="1" applyAlignment="1">
      <alignment horizontal="center" vertical="center"/>
    </xf>
    <xf numFmtId="4" fontId="1" fillId="0" borderId="12" xfId="0" applyNumberFormat="1" applyFont="1" applyBorder="1" applyAlignment="1">
      <alignment horizontal="center"/>
    </xf>
    <xf numFmtId="4" fontId="1" fillId="10" borderId="43" xfId="0" applyNumberFormat="1" applyFont="1" applyFill="1" applyBorder="1" applyAlignment="1">
      <alignment horizontal="center" vertical="center"/>
    </xf>
    <xf numFmtId="4" fontId="1" fillId="8" borderId="41" xfId="0" applyNumberFormat="1" applyFont="1" applyFill="1" applyBorder="1" applyAlignment="1">
      <alignment horizontal="center" vertical="center"/>
    </xf>
    <xf numFmtId="2" fontId="2" fillId="10" borderId="106" xfId="0" applyNumberFormat="1" applyFont="1" applyFill="1" applyBorder="1" applyAlignment="1">
      <alignment horizontal="center" vertical="center"/>
    </xf>
    <xf numFmtId="4" fontId="1" fillId="10" borderId="47" xfId="0" applyNumberFormat="1" applyFont="1" applyFill="1" applyBorder="1" applyAlignment="1">
      <alignment horizontal="center" vertical="center"/>
    </xf>
    <xf numFmtId="4" fontId="1" fillId="8" borderId="84" xfId="0" applyNumberFormat="1" applyFont="1" applyFill="1" applyBorder="1" applyAlignment="1">
      <alignment horizontal="center" vertical="center"/>
    </xf>
    <xf numFmtId="167" fontId="3" fillId="4" borderId="14" xfId="0" applyNumberFormat="1" applyFont="1" applyFill="1" applyBorder="1" applyAlignment="1">
      <alignment horizontal="center" vertical="center"/>
    </xf>
    <xf numFmtId="0" fontId="2" fillId="5" borderId="12" xfId="0" applyFont="1" applyFill="1" applyBorder="1" applyAlignment="1">
      <alignment horizontal="left" vertical="center"/>
    </xf>
    <xf numFmtId="0" fontId="2" fillId="5" borderId="13" xfId="0" applyFont="1" applyFill="1" applyBorder="1" applyAlignment="1">
      <alignment horizontal="center" vertical="center"/>
    </xf>
    <xf numFmtId="2" fontId="2" fillId="5" borderId="13" xfId="0" applyNumberFormat="1" applyFont="1" applyFill="1" applyBorder="1" applyAlignment="1">
      <alignment horizontal="center" vertical="center"/>
    </xf>
    <xf numFmtId="164" fontId="2" fillId="5" borderId="13" xfId="0" applyNumberFormat="1" applyFont="1" applyFill="1" applyBorder="1" applyAlignment="1">
      <alignment horizontal="center" vertical="center"/>
    </xf>
    <xf numFmtId="164" fontId="3" fillId="5" borderId="13" xfId="0" applyNumberFormat="1" applyFont="1" applyFill="1" applyBorder="1" applyAlignment="1">
      <alignment horizontal="center" vertical="center"/>
    </xf>
    <xf numFmtId="14" fontId="3" fillId="5" borderId="14" xfId="0" quotePrefix="1" applyNumberFormat="1" applyFont="1" applyFill="1" applyBorder="1" applyAlignment="1">
      <alignment horizontal="center" vertical="center"/>
    </xf>
    <xf numFmtId="0" fontId="2" fillId="4" borderId="13" xfId="0" applyFont="1" applyFill="1" applyBorder="1" applyAlignment="1">
      <alignment horizontal="center"/>
    </xf>
    <xf numFmtId="2" fontId="2" fillId="5" borderId="13" xfId="0" applyNumberFormat="1" applyFont="1" applyFill="1" applyBorder="1" applyAlignment="1">
      <alignment horizontal="center"/>
    </xf>
    <xf numFmtId="165" fontId="2" fillId="5" borderId="13" xfId="0" applyNumberFormat="1" applyFont="1" applyFill="1" applyBorder="1" applyAlignment="1">
      <alignment horizontal="center"/>
    </xf>
    <xf numFmtId="164" fontId="2" fillId="5" borderId="13" xfId="0" applyNumberFormat="1" applyFont="1" applyFill="1" applyBorder="1" applyAlignment="1">
      <alignment horizontal="center"/>
    </xf>
    <xf numFmtId="164" fontId="3" fillId="5" borderId="14" xfId="0" quotePrefix="1" applyNumberFormat="1" applyFont="1" applyFill="1" applyBorder="1" applyAlignment="1">
      <alignment horizontal="center" vertical="center"/>
    </xf>
    <xf numFmtId="164" fontId="1" fillId="5" borderId="104" xfId="0" applyNumberFormat="1" applyFont="1" applyFill="1" applyBorder="1" applyAlignment="1">
      <alignment horizontal="center" vertical="center"/>
    </xf>
    <xf numFmtId="164" fontId="1" fillId="5" borderId="94" xfId="0" applyNumberFormat="1" applyFont="1" applyFill="1" applyBorder="1" applyAlignment="1">
      <alignment horizontal="center" vertical="center"/>
    </xf>
    <xf numFmtId="164" fontId="1" fillId="5" borderId="103" xfId="0" applyNumberFormat="1" applyFont="1" applyFill="1" applyBorder="1" applyAlignment="1">
      <alignment horizontal="center" vertical="center"/>
    </xf>
    <xf numFmtId="164" fontId="1" fillId="5" borderId="93" xfId="0" applyNumberFormat="1" applyFont="1" applyFill="1" applyBorder="1" applyAlignment="1">
      <alignment horizontal="center" vertical="center"/>
    </xf>
    <xf numFmtId="164" fontId="1" fillId="5" borderId="95" xfId="0" applyNumberFormat="1" applyFont="1" applyFill="1" applyBorder="1" applyAlignment="1">
      <alignment horizontal="center" vertical="center"/>
    </xf>
    <xf numFmtId="164" fontId="1" fillId="5" borderId="50" xfId="0" applyNumberFormat="1" applyFont="1" applyFill="1" applyBorder="1" applyAlignment="1">
      <alignment horizontal="center" vertical="center"/>
    </xf>
    <xf numFmtId="164" fontId="1" fillId="5" borderId="33" xfId="0" applyNumberFormat="1" applyFont="1" applyFill="1" applyBorder="1" applyAlignment="1">
      <alignment horizontal="center" vertical="center"/>
    </xf>
    <xf numFmtId="164" fontId="1" fillId="5" borderId="34" xfId="0" applyNumberFormat="1" applyFont="1" applyFill="1" applyBorder="1" applyAlignment="1">
      <alignment horizontal="center" vertical="center"/>
    </xf>
    <xf numFmtId="2" fontId="2" fillId="13" borderId="35" xfId="0" applyNumberFormat="1" applyFont="1" applyFill="1" applyBorder="1" applyAlignment="1">
      <alignment horizontal="center" vertical="center"/>
    </xf>
    <xf numFmtId="2" fontId="2" fillId="13" borderId="0" xfId="0" applyNumberFormat="1" applyFont="1" applyFill="1" applyBorder="1" applyAlignment="1">
      <alignment horizontal="center" vertical="center"/>
    </xf>
    <xf numFmtId="2" fontId="2" fillId="13" borderId="9" xfId="0" applyNumberFormat="1" applyFont="1" applyFill="1" applyBorder="1" applyAlignment="1">
      <alignment horizontal="center" vertical="center"/>
    </xf>
    <xf numFmtId="2" fontId="2" fillId="13" borderId="33" xfId="0" applyNumberFormat="1" applyFont="1" applyFill="1" applyBorder="1" applyAlignment="1">
      <alignment horizontal="center" vertical="center"/>
    </xf>
    <xf numFmtId="2" fontId="2" fillId="13" borderId="10" xfId="0" applyNumberFormat="1" applyFont="1" applyFill="1" applyBorder="1" applyAlignment="1">
      <alignment horizontal="center" vertical="center"/>
    </xf>
    <xf numFmtId="2" fontId="2" fillId="13" borderId="34" xfId="0" applyNumberFormat="1" applyFont="1" applyFill="1" applyBorder="1" applyAlignment="1">
      <alignment horizontal="center" vertical="center"/>
    </xf>
    <xf numFmtId="2" fontId="2" fillId="13" borderId="39" xfId="0" applyNumberFormat="1" applyFont="1" applyFill="1" applyBorder="1" applyAlignment="1">
      <alignment horizontal="center" vertical="center"/>
    </xf>
    <xf numFmtId="2" fontId="2" fillId="13" borderId="44" xfId="0" applyNumberFormat="1" applyFont="1" applyFill="1" applyBorder="1" applyAlignment="1">
      <alignment horizontal="center" vertical="center"/>
    </xf>
    <xf numFmtId="4" fontId="1" fillId="13" borderId="39" xfId="0" applyNumberFormat="1" applyFont="1" applyFill="1" applyBorder="1" applyAlignment="1">
      <alignment horizontal="center" vertical="center"/>
    </xf>
    <xf numFmtId="4" fontId="1" fillId="13" borderId="35" xfId="0" applyNumberFormat="1" applyFont="1" applyFill="1" applyBorder="1" applyAlignment="1">
      <alignment horizontal="center" vertical="center"/>
    </xf>
    <xf numFmtId="2" fontId="2" fillId="5" borderId="10" xfId="0" applyNumberFormat="1" applyFont="1" applyFill="1" applyBorder="1" applyAlignment="1">
      <alignment horizontal="center" vertical="center"/>
    </xf>
    <xf numFmtId="2" fontId="2" fillId="5" borderId="35" xfId="0" applyNumberFormat="1" applyFont="1" applyFill="1" applyBorder="1" applyAlignment="1">
      <alignment horizontal="center" vertical="center"/>
    </xf>
    <xf numFmtId="2" fontId="2" fillId="5" borderId="46" xfId="0" applyNumberFormat="1" applyFont="1" applyFill="1" applyBorder="1" applyAlignment="1">
      <alignment horizontal="center" vertical="center"/>
    </xf>
    <xf numFmtId="4" fontId="1" fillId="5" borderId="13" xfId="0" applyNumberFormat="1" applyFont="1" applyFill="1" applyBorder="1" applyAlignment="1">
      <alignment horizontal="center"/>
    </xf>
    <xf numFmtId="4" fontId="1" fillId="5" borderId="46" xfId="0" applyNumberFormat="1" applyFont="1" applyFill="1" applyBorder="1" applyAlignment="1">
      <alignment horizontal="center"/>
    </xf>
    <xf numFmtId="2" fontId="2" fillId="5" borderId="13" xfId="0" applyNumberFormat="1" applyFont="1" applyFill="1" applyBorder="1"/>
    <xf numFmtId="2" fontId="2" fillId="5" borderId="46" xfId="0" applyNumberFormat="1" applyFont="1" applyFill="1" applyBorder="1"/>
    <xf numFmtId="2" fontId="1" fillId="5" borderId="13" xfId="0" applyNumberFormat="1" applyFont="1" applyFill="1" applyBorder="1" applyAlignment="1">
      <alignment horizontal="center" vertical="center"/>
    </xf>
    <xf numFmtId="2" fontId="1" fillId="5" borderId="46" xfId="0" applyNumberFormat="1" applyFont="1" applyFill="1" applyBorder="1" applyAlignment="1">
      <alignment horizontal="center" vertical="center"/>
    </xf>
    <xf numFmtId="2" fontId="2" fillId="5" borderId="39" xfId="0" applyNumberFormat="1" applyFont="1" applyFill="1" applyBorder="1" applyAlignment="1">
      <alignment horizontal="center" vertical="center"/>
    </xf>
    <xf numFmtId="2" fontId="2" fillId="5" borderId="44" xfId="0" applyNumberFormat="1" applyFont="1" applyFill="1" applyBorder="1" applyAlignment="1">
      <alignment horizontal="center" vertical="center"/>
    </xf>
    <xf numFmtId="2" fontId="2" fillId="5" borderId="33" xfId="0" applyNumberFormat="1" applyFont="1" applyFill="1" applyBorder="1" applyAlignment="1">
      <alignment horizontal="center" vertical="center"/>
    </xf>
    <xf numFmtId="2" fontId="2" fillId="5" borderId="34" xfId="0" applyNumberFormat="1" applyFont="1" applyFill="1" applyBorder="1" applyAlignment="1">
      <alignment horizontal="center" vertical="center"/>
    </xf>
    <xf numFmtId="2" fontId="2" fillId="8" borderId="46" xfId="0" applyNumberFormat="1" applyFont="1" applyFill="1" applyBorder="1" applyAlignment="1">
      <alignment horizontal="center" vertical="center"/>
    </xf>
    <xf numFmtId="4" fontId="1" fillId="8" borderId="39" xfId="0" applyNumberFormat="1" applyFont="1" applyFill="1" applyBorder="1" applyAlignment="1">
      <alignment horizontal="center" vertical="center"/>
    </xf>
    <xf numFmtId="4" fontId="1" fillId="8" borderId="44" xfId="0" applyNumberFormat="1" applyFont="1" applyFill="1" applyBorder="1" applyAlignment="1">
      <alignment horizontal="center" vertical="center"/>
    </xf>
    <xf numFmtId="4" fontId="1" fillId="8" borderId="46" xfId="0" applyNumberFormat="1" applyFont="1" applyFill="1" applyBorder="1" applyAlignment="1">
      <alignment horizontal="center" vertical="center"/>
    </xf>
    <xf numFmtId="0" fontId="1" fillId="8" borderId="13" xfId="0" applyFont="1" applyFill="1" applyBorder="1" applyAlignment="1">
      <alignment horizontal="left" vertical="center"/>
    </xf>
    <xf numFmtId="166" fontId="9" fillId="0" borderId="13" xfId="0" applyNumberFormat="1" applyFont="1" applyFill="1" applyBorder="1" applyAlignment="1">
      <alignment horizontal="center" vertical="center"/>
    </xf>
    <xf numFmtId="166" fontId="9" fillId="4" borderId="13"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1" fontId="2" fillId="4" borderId="13" xfId="0" applyNumberFormat="1" applyFont="1" applyFill="1" applyBorder="1" applyAlignment="1">
      <alignment horizontal="center" vertical="center"/>
    </xf>
    <xf numFmtId="11" fontId="2" fillId="0" borderId="13" xfId="0" applyNumberFormat="1" applyFont="1" applyBorder="1" applyAlignment="1">
      <alignment horizontal="center" vertical="center"/>
    </xf>
    <xf numFmtId="11" fontId="2" fillId="6" borderId="13" xfId="0" applyNumberFormat="1" applyFont="1" applyFill="1" applyBorder="1" applyAlignment="1">
      <alignment horizontal="center" vertical="center"/>
    </xf>
    <xf numFmtId="11" fontId="2" fillId="5" borderId="13" xfId="0" applyNumberFormat="1" applyFont="1" applyFill="1" applyBorder="1" applyAlignment="1">
      <alignment horizontal="center" vertical="center"/>
    </xf>
    <xf numFmtId="1" fontId="3" fillId="0" borderId="14" xfId="0" applyNumberFormat="1" applyFont="1" applyFill="1" applyBorder="1" applyAlignment="1">
      <alignment horizontal="center" vertical="center"/>
    </xf>
    <xf numFmtId="166" fontId="2" fillId="0" borderId="68" xfId="0" applyNumberFormat="1" applyFont="1" applyBorder="1" applyAlignment="1">
      <alignment horizontal="center" vertical="center"/>
    </xf>
    <xf numFmtId="11" fontId="2" fillId="0" borderId="68" xfId="0" applyNumberFormat="1" applyFont="1" applyBorder="1" applyAlignment="1">
      <alignment horizontal="center" vertical="center"/>
    </xf>
    <xf numFmtId="0" fontId="2" fillId="0" borderId="68" xfId="0" applyFont="1" applyFill="1" applyBorder="1" applyAlignment="1">
      <alignment horizontal="center" vertical="center"/>
    </xf>
    <xf numFmtId="165" fontId="2" fillId="5" borderId="13" xfId="0" applyNumberFormat="1" applyFont="1" applyFill="1" applyBorder="1" applyAlignment="1">
      <alignment horizontal="center" vertical="center"/>
    </xf>
    <xf numFmtId="165" fontId="2" fillId="5" borderId="68" xfId="0" applyNumberFormat="1" applyFont="1" applyFill="1" applyBorder="1" applyAlignment="1">
      <alignment horizontal="center" vertical="center"/>
    </xf>
    <xf numFmtId="164" fontId="3" fillId="5" borderId="13" xfId="0" applyNumberFormat="1" applyFont="1" applyFill="1" applyBorder="1" applyAlignment="1">
      <alignment horizontal="center" vertical="center" wrapText="1"/>
    </xf>
    <xf numFmtId="0" fontId="5" fillId="5" borderId="13" xfId="0" applyFont="1" applyFill="1" applyBorder="1" applyAlignment="1">
      <alignment horizontal="center"/>
    </xf>
    <xf numFmtId="164" fontId="3" fillId="4" borderId="13" xfId="0" applyNumberFormat="1" applyFont="1" applyFill="1" applyBorder="1" applyAlignment="1">
      <alignment horizontal="center" vertical="center" wrapText="1"/>
    </xf>
    <xf numFmtId="164" fontId="3" fillId="0" borderId="68" xfId="0" applyNumberFormat="1" applyFont="1" applyBorder="1" applyAlignment="1">
      <alignment horizontal="center" vertical="center"/>
    </xf>
    <xf numFmtId="1" fontId="3" fillId="0" borderId="69" xfId="0" applyNumberFormat="1" applyFont="1" applyBorder="1" applyAlignment="1">
      <alignment horizontal="center" vertical="center"/>
    </xf>
    <xf numFmtId="0" fontId="1" fillId="0" borderId="38" xfId="0" applyFont="1" applyBorder="1" applyAlignment="1">
      <alignment horizontal="center" vertical="center"/>
    </xf>
    <xf numFmtId="0" fontId="2" fillId="0" borderId="0" xfId="0" applyFont="1" applyAlignment="1">
      <alignment horizontal="left" vertical="top" wrapText="1"/>
    </xf>
    <xf numFmtId="0" fontId="2" fillId="0" borderId="101" xfId="0" applyFont="1" applyBorder="1" applyAlignment="1">
      <alignment horizontal="center"/>
    </xf>
    <xf numFmtId="0" fontId="2" fillId="0" borderId="102" xfId="0" applyFont="1" applyBorder="1" applyAlignment="1">
      <alignment horizontal="center"/>
    </xf>
    <xf numFmtId="0" fontId="1" fillId="0" borderId="85" xfId="0" applyFont="1" applyBorder="1" applyAlignment="1">
      <alignment horizontal="center" wrapText="1"/>
    </xf>
    <xf numFmtId="0" fontId="1" fillId="0" borderId="86" xfId="0" applyFont="1" applyBorder="1" applyAlignment="1">
      <alignment horizontal="center" wrapText="1"/>
    </xf>
    <xf numFmtId="0" fontId="1" fillId="0" borderId="87" xfId="0" applyFont="1" applyBorder="1" applyAlignment="1">
      <alignment horizontal="center" wrapText="1"/>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2" xfId="0" quotePrefix="1" applyFont="1" applyBorder="1" applyAlignment="1">
      <alignment horizontal="center" vertical="center"/>
    </xf>
    <xf numFmtId="0" fontId="2" fillId="0" borderId="15" xfId="0" quotePrefix="1" applyFont="1" applyBorder="1" applyAlignment="1">
      <alignment horizontal="center" vertical="center"/>
    </xf>
    <xf numFmtId="1" fontId="2" fillId="0" borderId="2" xfId="0" quotePrefix="1" applyNumberFormat="1" applyFont="1" applyBorder="1" applyAlignment="1">
      <alignment horizontal="center" vertical="center"/>
    </xf>
    <xf numFmtId="1" fontId="2" fillId="0" borderId="15" xfId="0" quotePrefix="1" applyNumberFormat="1" applyFont="1" applyBorder="1" applyAlignment="1">
      <alignment horizontal="center" vertical="center"/>
    </xf>
    <xf numFmtId="0" fontId="7" fillId="0" borderId="71" xfId="1" applyBorder="1" applyAlignment="1">
      <alignment horizontal="left" wrapText="1"/>
    </xf>
    <xf numFmtId="0" fontId="7" fillId="0" borderId="61" xfId="1" applyBorder="1" applyAlignment="1">
      <alignment horizontal="left" vertical="center" wrapText="1"/>
    </xf>
    <xf numFmtId="0" fontId="7" fillId="0" borderId="98" xfId="1" applyBorder="1" applyAlignment="1">
      <alignment horizontal="left" vertical="center" wrapText="1"/>
    </xf>
    <xf numFmtId="0" fontId="7" fillId="0" borderId="99" xfId="1" applyBorder="1" applyAlignment="1">
      <alignment horizontal="left" vertical="center" wrapText="1"/>
    </xf>
    <xf numFmtId="0" fontId="7" fillId="0" borderId="61" xfId="1" applyFill="1" applyBorder="1" applyAlignment="1">
      <alignment horizontal="left" vertical="center" wrapText="1"/>
    </xf>
    <xf numFmtId="0" fontId="6" fillId="0" borderId="98" xfId="0" applyFont="1" applyFill="1" applyBorder="1" applyAlignment="1">
      <alignment horizontal="left" vertical="center" wrapText="1"/>
    </xf>
    <xf numFmtId="0" fontId="6" fillId="0" borderId="99" xfId="0" applyFont="1" applyFill="1" applyBorder="1" applyAlignment="1">
      <alignment horizontal="left" vertical="center" wrapText="1"/>
    </xf>
    <xf numFmtId="0" fontId="1" fillId="0" borderId="85" xfId="0" applyFont="1" applyBorder="1" applyAlignment="1">
      <alignment horizontal="center"/>
    </xf>
    <xf numFmtId="0" fontId="1" fillId="0" borderId="86" xfId="0" applyFont="1" applyBorder="1" applyAlignment="1">
      <alignment horizontal="center"/>
    </xf>
    <xf numFmtId="0" fontId="1" fillId="0" borderId="87" xfId="0" applyFont="1" applyBorder="1" applyAlignment="1">
      <alignment horizontal="center"/>
    </xf>
    <xf numFmtId="0" fontId="3" fillId="0" borderId="76" xfId="0" applyFont="1" applyBorder="1" applyAlignment="1">
      <alignment horizontal="left" vertical="center"/>
    </xf>
    <xf numFmtId="0" fontId="3" fillId="0" borderId="77" xfId="0" applyFont="1" applyBorder="1" applyAlignment="1">
      <alignment horizontal="left" vertical="center"/>
    </xf>
    <xf numFmtId="0" fontId="3" fillId="0" borderId="74" xfId="0" applyFont="1" applyBorder="1" applyAlignment="1">
      <alignment horizontal="left" vertical="center"/>
    </xf>
    <xf numFmtId="0" fontId="3" fillId="0" borderId="78" xfId="0" applyFont="1" applyBorder="1" applyAlignment="1">
      <alignment horizontal="left" vertical="center"/>
    </xf>
    <xf numFmtId="0" fontId="3" fillId="0" borderId="82" xfId="0" applyFont="1" applyBorder="1" applyAlignment="1">
      <alignment horizontal="center" vertical="center"/>
    </xf>
    <xf numFmtId="0" fontId="3" fillId="0" borderId="81" xfId="0" applyFont="1" applyBorder="1" applyAlignment="1">
      <alignment horizontal="center" vertical="center"/>
    </xf>
    <xf numFmtId="0" fontId="3" fillId="0" borderId="2" xfId="0" applyFont="1" applyBorder="1" applyAlignment="1">
      <alignment horizontal="left"/>
    </xf>
    <xf numFmtId="0" fontId="3" fillId="0" borderId="15" xfId="0"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S\2014\04%20AQS%20Revisions\28%20Spreadsheet%20updates\04%20Working%20-%20Sheet%20Revisions\07%20version%204.2\BOEM-0139_DOCD_Emission_Workbook_0204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 val="TITLE"/>
      <sheetName val="FACILITY FACTORS"/>
      <sheetName val="ATTRIBUTED FACTORS"/>
      <sheetName val="VESSEL FACTORS"/>
      <sheetName val="CONSTANTS"/>
      <sheetName val="ERM"/>
      <sheetName val="LOAD"/>
      <sheetName val="METHODOLOGY"/>
      <sheetName val="EMISSIONS_1"/>
      <sheetName val="EMISSIONS_2"/>
      <sheetName val="EMISSIONS_3"/>
      <sheetName val="EMISSIONS_4"/>
      <sheetName val="EMISSIONS_5"/>
      <sheetName val="EMISSIONS_6"/>
      <sheetName val="EMISSIONS_7"/>
      <sheetName val="EMISSIONS_8"/>
      <sheetName val="EMISSIONS_9"/>
      <sheetName val="EMISSIONS_10"/>
      <sheetName val="SUMMARY"/>
      <sheetName val="Rolling Sum"/>
    </sheetNames>
    <sheetDataSet>
      <sheetData sheetId="0">
        <row r="1">
          <cell r="BE1" t="str">
            <v>VESSEL EF type</v>
          </cell>
        </row>
        <row r="2">
          <cell r="BE2" t="str">
            <v>Default</v>
          </cell>
        </row>
        <row r="3">
          <cell r="BE3" t="str">
            <v>Stack test</v>
          </cell>
        </row>
        <row r="4">
          <cell r="BE4" t="str">
            <v>Manufacturer</v>
          </cell>
        </row>
        <row r="5">
          <cell r="BE5" t="str">
            <v>Model</v>
          </cell>
        </row>
        <row r="6">
          <cell r="BE6" t="str">
            <v>FAA</v>
          </cell>
        </row>
        <row r="7">
          <cell r="BE7" t="str">
            <v>MARPOL</v>
          </cell>
        </row>
        <row r="8">
          <cell r="BE8" t="str">
            <v>Default from BOEM Study</v>
          </cell>
        </row>
        <row r="9">
          <cell r="BE9" t="str">
            <v>ERG 2012</v>
          </cell>
        </row>
        <row r="10">
          <cell r="BE10" t="str">
            <v>IHS 2014 Data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3.epa.gov/ttn/chief/ap42/ch03/final/c03s04.pdf" TargetMode="External"/><Relationship Id="rId13" Type="http://schemas.openxmlformats.org/officeDocument/2006/relationships/hyperlink" Target="https://www3.epa.gov/ttnchie1/ap42/ch02/final/c02s01.pdf" TargetMode="External"/><Relationship Id="rId18" Type="http://schemas.openxmlformats.org/officeDocument/2006/relationships/hyperlink" Target="https://www.boem.gov/environment/environmental-studies/2014-gulfwide-emission-inventory" TargetMode="External"/><Relationship Id="rId3" Type="http://schemas.openxmlformats.org/officeDocument/2006/relationships/hyperlink" Target="https://www3.epa.gov/ttnchie1/ap42/ch03/final/c03s01.pdf" TargetMode="External"/><Relationship Id="rId7" Type="http://schemas.openxmlformats.org/officeDocument/2006/relationships/hyperlink" Target="https://www3.epa.gov/ttnchie1/ap42/ch03/final/c03s03.pdf" TargetMode="External"/><Relationship Id="rId12" Type="http://schemas.openxmlformats.org/officeDocument/2006/relationships/hyperlink" Target="https://www.epa.gov/moves/nonroad2008a-installation-and-updates" TargetMode="External"/><Relationship Id="rId17" Type="http://schemas.openxmlformats.org/officeDocument/2006/relationships/hyperlink" Target="https://nam04.safelinks.protection.outlook.com/?url=https%3A%2F%2Fwww.api.org%2F&amp;data=02%7C01%7CRoger.Chang%40erg.com%7C87f6275ddc13416a4c7008d7ba2a3276%7Ca17e3fab8d2346f287f33fceb7c6a000%7C1%7C0%7C637182562721202140&amp;sdata=7WBintfvlEcDSq7ji8JCyFvnrb19px99HiLkPbOjGr0%3D&amp;reserved=0" TargetMode="External"/><Relationship Id="rId2" Type="http://schemas.openxmlformats.org/officeDocument/2006/relationships/hyperlink" Target="https://www.boem.gov/environment/environmental-studies/2014-gulfwide-emission-inventory" TargetMode="External"/><Relationship Id="rId16" Type="http://schemas.openxmlformats.org/officeDocument/2006/relationships/hyperlink" Target="https://www3.epa.gov/ttnchie1/ap42/ch01/final/c01s03.pdf" TargetMode="External"/><Relationship Id="rId20" Type="http://schemas.openxmlformats.org/officeDocument/2006/relationships/printerSettings" Target="../printerSettings/printerSettings2.bin"/><Relationship Id="rId1" Type="http://schemas.openxmlformats.org/officeDocument/2006/relationships/hyperlink" Target="https://www3.epa.gov/ttnchie1/ap42/ch01/final/c01s04.pdf" TargetMode="External"/><Relationship Id="rId6" Type="http://schemas.openxmlformats.org/officeDocument/2006/relationships/hyperlink" Target="https://www3.epa.gov/ttn/chief/ap42/ch03/final/c03s02.pdf" TargetMode="External"/><Relationship Id="rId11" Type="http://schemas.openxmlformats.org/officeDocument/2006/relationships/hyperlink" Target="https://www.boem.gov/sites/default/files/uploadedFiles/BOEM/BOEM_Newsroom/Library/Publications/2014-1001.pdf" TargetMode="External"/><Relationship Id="rId5" Type="http://schemas.openxmlformats.org/officeDocument/2006/relationships/hyperlink" Target="https://www3.epa.gov/ttn/chief/ap42/ch03/final/c03s02.pdf" TargetMode="External"/><Relationship Id="rId15" Type="http://schemas.openxmlformats.org/officeDocument/2006/relationships/hyperlink" Target="https://www.epa.gov/air-emissions-inventories/2017-national-emissions-inventory-nei-data" TargetMode="External"/><Relationship Id="rId10" Type="http://schemas.openxmlformats.org/officeDocument/2006/relationships/hyperlink" Target="https://www3.epa.gov/ttnchie1/ap42/ch03/final/c03s01.pdf" TargetMode="External"/><Relationship Id="rId19" Type="http://schemas.openxmlformats.org/officeDocument/2006/relationships/hyperlink" Target="https://www3.epa.gov/ttn/chief/ap42/ch13/final/C13S05_02-05-18.pdf" TargetMode="External"/><Relationship Id="rId4" Type="http://schemas.openxmlformats.org/officeDocument/2006/relationships/hyperlink" Target="https://www3.epa.gov/ttn/chief/ap42/ch03/final/c03s02.pdf" TargetMode="External"/><Relationship Id="rId9" Type="http://schemas.openxmlformats.org/officeDocument/2006/relationships/hyperlink" Target="https://www3.epa.gov/ttnchie1/ap42/ch01/final/c01s03.pdf" TargetMode="External"/><Relationship Id="rId14" Type="http://schemas.openxmlformats.org/officeDocument/2006/relationships/hyperlink" Target="https://www.boem.gov/environment/environmental-studies/2011-gulfwide-emission-inventor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43"/>
  <sheetViews>
    <sheetView tabSelected="1" view="pageLayout" zoomScaleNormal="100" workbookViewId="0">
      <selection activeCell="C21" sqref="C21"/>
    </sheetView>
  </sheetViews>
  <sheetFormatPr defaultColWidth="9.140625" defaultRowHeight="12.75" x14ac:dyDescent="0.2"/>
  <cols>
    <col min="1" max="1" width="11.140625" style="2" customWidth="1"/>
    <col min="2" max="2" width="11.85546875" style="2" customWidth="1"/>
    <col min="3" max="3" width="64" style="2" customWidth="1"/>
    <col min="4" max="4" width="57.7109375" style="2" customWidth="1"/>
    <col min="5" max="16384" width="9.140625" style="2"/>
  </cols>
  <sheetData>
    <row r="1" spans="1:3" ht="13.5" thickBot="1" x14ac:dyDescent="0.25">
      <c r="A1" s="130" t="s">
        <v>1</v>
      </c>
      <c r="B1" s="131"/>
      <c r="C1" s="132"/>
    </row>
    <row r="2" spans="1:3" ht="13.5" thickBot="1" x14ac:dyDescent="0.25">
      <c r="A2" s="130" t="s">
        <v>2</v>
      </c>
      <c r="B2" s="133"/>
      <c r="C2" s="132"/>
    </row>
    <row r="3" spans="1:3" ht="13.5" thickBot="1" x14ac:dyDescent="0.25">
      <c r="A3" s="130" t="s">
        <v>3</v>
      </c>
      <c r="B3" s="133"/>
      <c r="C3" s="132" t="s">
        <v>4</v>
      </c>
    </row>
    <row r="4" spans="1:3" ht="13.5" thickBot="1" x14ac:dyDescent="0.25">
      <c r="A4" s="130" t="s">
        <v>5</v>
      </c>
      <c r="B4" s="133"/>
      <c r="C4" s="132" t="s">
        <v>6</v>
      </c>
    </row>
    <row r="5" spans="1:3" ht="13.5" thickBot="1" x14ac:dyDescent="0.25">
      <c r="A5" s="130" t="s">
        <v>63</v>
      </c>
      <c r="B5" s="133"/>
      <c r="C5" s="132" t="s">
        <v>0</v>
      </c>
    </row>
    <row r="6" spans="1:3" ht="13.5" thickBot="1" x14ac:dyDescent="0.25">
      <c r="A6" s="130" t="s">
        <v>7</v>
      </c>
      <c r="B6" s="133"/>
      <c r="C6" s="132" t="s">
        <v>8</v>
      </c>
    </row>
    <row r="7" spans="1:3" ht="13.5" thickBot="1" x14ac:dyDescent="0.25">
      <c r="A7" s="130" t="s">
        <v>9</v>
      </c>
      <c r="B7" s="133"/>
      <c r="C7" s="132" t="s">
        <v>6</v>
      </c>
    </row>
    <row r="8" spans="1:3" ht="13.5" thickBot="1" x14ac:dyDescent="0.25">
      <c r="A8" s="130" t="s">
        <v>10</v>
      </c>
      <c r="B8" s="133"/>
      <c r="C8" s="132" t="s">
        <v>0</v>
      </c>
    </row>
    <row r="9" spans="1:3" ht="13.5" thickBot="1" x14ac:dyDescent="0.25">
      <c r="A9" s="130" t="s">
        <v>11</v>
      </c>
      <c r="B9" s="133"/>
      <c r="C9" s="132" t="s">
        <v>0</v>
      </c>
    </row>
    <row r="40" spans="1:3" ht="12.6" hidden="1" customHeight="1" x14ac:dyDescent="0.2"/>
    <row r="41" spans="1:3" ht="12.6" hidden="1" customHeight="1" x14ac:dyDescent="0.2"/>
    <row r="42" spans="1:3" ht="6.6" hidden="1" customHeight="1" x14ac:dyDescent="0.2"/>
    <row r="43" spans="1:3" ht="158.44999999999999" customHeight="1" x14ac:dyDescent="0.2">
      <c r="A43" s="451" t="s">
        <v>206</v>
      </c>
      <c r="B43" s="451"/>
      <c r="C43" s="451"/>
    </row>
  </sheetData>
  <mergeCells count="1">
    <mergeCell ref="A43:C43"/>
  </mergeCells>
  <phoneticPr fontId="0" type="noConversion"/>
  <printOptions horizontalCentered="1"/>
  <pageMargins left="0.25" right="0.25" top="1.1399999999999999" bottom="0.75" header="0.45" footer="0.45"/>
  <pageSetup orientation="portrait" r:id="rId1"/>
  <headerFooter alignWithMargins="0">
    <oddHeader>&amp;C&amp;"MS Sans Serif,Bold"EP - AIR QUALITY
&amp;R&amp;"MS Sans Serif,Bold"&amp;9OMB Control No. 1010-0151
OMB Approval Expires: 10/31/2027</oddHeader>
    <oddFooter xml:space="preserve">&amp;L&amp;"MS Sans Serif,Bold"BOEM FORM 0138&amp;"MS Sans Serif,Regular" (October 2024 - Supersedes all previous versions of this form which may not be used).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6DDE7-EE94-4F59-860C-82D0F7225DF3}">
  <sheetPr codeName="Sheet11">
    <pageSetUpPr fitToPage="1"/>
  </sheetPr>
  <dimension ref="A1:AR178"/>
  <sheetViews>
    <sheetView view="pageLayout" topLeftCell="A2" zoomScale="70" zoomScaleNormal="100" zoomScalePageLayoutView="70" workbookViewId="0">
      <selection activeCell="D15" sqref="D15"/>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56"/>
    <col min="45" max="16384" width="9.7109375" style="2"/>
  </cols>
  <sheetData>
    <row r="1" spans="1:44" ht="12.75" customHeight="1" thickBot="1" x14ac:dyDescent="0.25">
      <c r="A1" s="23" t="s">
        <v>1</v>
      </c>
      <c r="B1" s="23" t="s">
        <v>2</v>
      </c>
      <c r="C1" s="23"/>
      <c r="D1" s="23" t="s">
        <v>3</v>
      </c>
      <c r="E1" s="23" t="s">
        <v>5</v>
      </c>
      <c r="F1" s="24" t="s">
        <v>63</v>
      </c>
      <c r="G1" s="23" t="s">
        <v>7</v>
      </c>
      <c r="H1" s="25"/>
      <c r="I1" s="26"/>
      <c r="J1" s="26"/>
      <c r="K1" s="26"/>
      <c r="L1" s="27" t="s">
        <v>81</v>
      </c>
      <c r="M1" s="28" t="s">
        <v>0</v>
      </c>
      <c r="N1" s="26" t="s">
        <v>42</v>
      </c>
      <c r="O1" s="29"/>
      <c r="P1" s="29" t="s">
        <v>11</v>
      </c>
      <c r="Q1" s="29"/>
      <c r="R1" s="30"/>
      <c r="S1" s="30"/>
      <c r="T1" s="30"/>
      <c r="U1" s="30"/>
      <c r="V1" s="30"/>
      <c r="W1" s="30"/>
      <c r="X1" s="30"/>
      <c r="Y1" s="30"/>
      <c r="Z1" s="101"/>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373"/>
      <c r="K2" s="373"/>
      <c r="L2" s="473" t="str">
        <f>TITLE!$C$7</f>
        <v xml:space="preserve">  </v>
      </c>
      <c r="M2" s="476"/>
      <c r="N2" s="473" t="str">
        <f>TITLE!$C$8</f>
        <v xml:space="preserve"> </v>
      </c>
      <c r="O2" s="476"/>
      <c r="P2" s="473" t="str">
        <f>TITLE!C9</f>
        <v xml:space="preserve"> </v>
      </c>
      <c r="Q2" s="474"/>
      <c r="R2" s="474"/>
      <c r="S2" s="474"/>
      <c r="T2" s="474"/>
      <c r="U2" s="474"/>
      <c r="V2" s="474"/>
      <c r="W2" s="474"/>
      <c r="X2" s="474"/>
      <c r="Y2" s="474"/>
      <c r="Z2" s="475"/>
    </row>
    <row r="3" spans="1:44" ht="12.75" customHeight="1" thickTop="1" x14ac:dyDescent="0.2">
      <c r="A3" s="33" t="s">
        <v>43</v>
      </c>
      <c r="B3" s="34" t="s">
        <v>44</v>
      </c>
      <c r="C3" s="34" t="s">
        <v>101</v>
      </c>
      <c r="D3" s="34" t="s">
        <v>45</v>
      </c>
      <c r="E3" s="34" t="s">
        <v>46</v>
      </c>
      <c r="F3" s="35" t="s">
        <v>47</v>
      </c>
      <c r="G3" s="36" t="s">
        <v>48</v>
      </c>
      <c r="H3" s="37"/>
      <c r="I3" s="38"/>
      <c r="J3" s="38"/>
      <c r="K3" s="38"/>
      <c r="L3" s="38"/>
      <c r="M3" s="38" t="s">
        <v>49</v>
      </c>
      <c r="N3" s="38"/>
      <c r="O3" s="38"/>
      <c r="P3" s="38"/>
      <c r="Q3" s="39"/>
      <c r="R3" s="40"/>
      <c r="S3" s="40"/>
      <c r="T3" s="40"/>
      <c r="U3" s="40"/>
      <c r="V3" s="38" t="s">
        <v>50</v>
      </c>
      <c r="W3" s="40"/>
      <c r="X3" s="40"/>
      <c r="Y3" s="40"/>
      <c r="Z3" s="100"/>
    </row>
    <row r="4" spans="1:44" ht="12.75" customHeight="1" x14ac:dyDescent="0.2">
      <c r="A4" s="41"/>
      <c r="B4" s="42" t="s">
        <v>51</v>
      </c>
      <c r="C4" s="42"/>
      <c r="D4" s="42" t="s">
        <v>52</v>
      </c>
      <c r="E4" s="42" t="s">
        <v>53</v>
      </c>
      <c r="F4" s="43" t="s">
        <v>54</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77" t="s">
        <v>55</v>
      </c>
      <c r="C5" s="277"/>
      <c r="D5" s="50" t="s">
        <v>52</v>
      </c>
      <c r="E5" s="50" t="s">
        <v>56</v>
      </c>
      <c r="F5" s="51" t="s">
        <v>57</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78" t="s">
        <v>58</v>
      </c>
      <c r="C6" s="278"/>
      <c r="D6" s="168" t="s">
        <v>59</v>
      </c>
      <c r="E6" s="42" t="s">
        <v>56</v>
      </c>
      <c r="F6" s="43" t="s">
        <v>57</v>
      </c>
      <c r="G6" s="169" t="s">
        <v>60</v>
      </c>
      <c r="H6" s="170" t="s">
        <v>71</v>
      </c>
      <c r="I6" s="396" t="s">
        <v>199</v>
      </c>
      <c r="J6" s="397" t="s">
        <v>197</v>
      </c>
      <c r="K6" s="398" t="s">
        <v>198</v>
      </c>
      <c r="L6" s="399" t="s">
        <v>23</v>
      </c>
      <c r="M6" s="399" t="s">
        <v>24</v>
      </c>
      <c r="N6" s="399" t="s">
        <v>25</v>
      </c>
      <c r="O6" s="397" t="s">
        <v>72</v>
      </c>
      <c r="P6" s="397" t="s">
        <v>26</v>
      </c>
      <c r="Q6" s="400" t="s">
        <v>80</v>
      </c>
      <c r="R6" s="401" t="s">
        <v>199</v>
      </c>
      <c r="S6" s="402" t="s">
        <v>197</v>
      </c>
      <c r="T6" s="403" t="s">
        <v>198</v>
      </c>
      <c r="U6" s="403" t="s">
        <v>23</v>
      </c>
      <c r="V6" s="171" t="s">
        <v>24</v>
      </c>
      <c r="W6" s="171" t="s">
        <v>25</v>
      </c>
      <c r="X6" s="46" t="s">
        <v>72</v>
      </c>
      <c r="Y6" s="46" t="s">
        <v>26</v>
      </c>
      <c r="Z6" s="172" t="s">
        <v>80</v>
      </c>
    </row>
    <row r="7" spans="1:44" s="173" customFormat="1" ht="12.75" customHeight="1" thickTop="1" x14ac:dyDescent="0.2">
      <c r="A7" s="194" t="s">
        <v>61</v>
      </c>
      <c r="B7" s="279" t="s">
        <v>165</v>
      </c>
      <c r="C7" s="293"/>
      <c r="D7" s="195">
        <v>0</v>
      </c>
      <c r="E7" s="196">
        <f>FACTORS!$I$2*D7</f>
        <v>0</v>
      </c>
      <c r="F7" s="197">
        <f>E7*24</f>
        <v>0</v>
      </c>
      <c r="G7" s="198">
        <v>0</v>
      </c>
      <c r="H7" s="199">
        <v>0</v>
      </c>
      <c r="I7" s="377">
        <f>FACTORS!$C$17*D7/453.592</f>
        <v>0</v>
      </c>
      <c r="J7" s="404">
        <f>FACTORS!$D$17*D7/453.592</f>
        <v>0</v>
      </c>
      <c r="K7" s="405">
        <f>FACTORS!$E$17*D7/453.592</f>
        <v>0</v>
      </c>
      <c r="L7" s="202">
        <f>FACTORS!$F$17*D7/453.592</f>
        <v>0</v>
      </c>
      <c r="M7" s="202">
        <f>FACTORS!$G$17*D7/453.592</f>
        <v>0</v>
      </c>
      <c r="N7" s="201">
        <f>FACTORS!$H$17*D7/453.592</f>
        <v>0</v>
      </c>
      <c r="O7" s="203">
        <f>FACTORS!$I$17*D7/453.592</f>
        <v>0</v>
      </c>
      <c r="P7" s="203">
        <f>FACTORS!$J$17*D7/453.592</f>
        <v>0</v>
      </c>
      <c r="Q7" s="204">
        <f>IFERROR(FACTORS!$K$17*D7/453.592,"--")</f>
        <v>0</v>
      </c>
      <c r="R7" s="381">
        <f>IF(I7=0,0,I7*($F7/($E7*24))*$G7*$H7/2000)</f>
        <v>0</v>
      </c>
      <c r="S7" s="203">
        <f t="shared" ref="S7:T10" si="0">IF(J7=0,0,J7*($F7/($E7*24))*$G7*$H7/2000)</f>
        <v>0</v>
      </c>
      <c r="T7" s="203">
        <f>IF(K7=0,0,K7*($F7/($E7*24))*$G7*$H7/2000)</f>
        <v>0</v>
      </c>
      <c r="U7" s="203">
        <f t="shared" ref="U7:W10" si="1">IF(L7=0,0,L7*($F7/($E7*24))*$G7*$H7/2000)</f>
        <v>0</v>
      </c>
      <c r="V7" s="203">
        <f t="shared" si="1"/>
        <v>0</v>
      </c>
      <c r="W7" s="203">
        <f t="shared" si="1"/>
        <v>0</v>
      </c>
      <c r="X7" s="203">
        <f>IFERROR(IF(O7=0,0,O7*($F7/($E7*24))*$G7*$H7/2000),"--")</f>
        <v>0</v>
      </c>
      <c r="Y7" s="203">
        <f>IF(P7=0,0,P7*($F7/($E7*24))*$G7*$H7/2000)</f>
        <v>0</v>
      </c>
      <c r="Z7" s="205">
        <f>IFERROR(IF(Q7=0,0,Q7*($F7/($E7*24))*$G7*$H7/2000),"--")</f>
        <v>0</v>
      </c>
      <c r="AA7" s="262"/>
      <c r="AB7" s="262"/>
      <c r="AC7" s="262"/>
      <c r="AD7" s="262"/>
      <c r="AE7" s="262"/>
      <c r="AF7" s="262"/>
      <c r="AG7" s="262"/>
      <c r="AH7" s="262"/>
      <c r="AI7" s="262"/>
      <c r="AJ7" s="262"/>
      <c r="AK7" s="262"/>
      <c r="AL7" s="262"/>
      <c r="AM7" s="262"/>
      <c r="AN7" s="262"/>
      <c r="AO7" s="262"/>
      <c r="AP7" s="262"/>
      <c r="AQ7" s="262"/>
      <c r="AR7" s="262"/>
    </row>
    <row r="8" spans="1:44" s="183" customFormat="1" ht="12.75" customHeight="1" x14ac:dyDescent="0.2">
      <c r="A8" s="206"/>
      <c r="B8" s="238" t="s">
        <v>165</v>
      </c>
      <c r="C8" s="294"/>
      <c r="D8" s="208">
        <v>0</v>
      </c>
      <c r="E8" s="209">
        <f>FACTORS!$I$2*D8</f>
        <v>0</v>
      </c>
      <c r="F8" s="201">
        <f>E8*24</f>
        <v>0</v>
      </c>
      <c r="G8" s="210">
        <v>0</v>
      </c>
      <c r="H8" s="211">
        <v>0</v>
      </c>
      <c r="I8" s="222">
        <f>FACTORS!$C$17*D8/453.592</f>
        <v>0</v>
      </c>
      <c r="J8" s="404">
        <f>FACTORS!$D$17*D8/453.592</f>
        <v>0</v>
      </c>
      <c r="K8" s="405">
        <f>FACTORS!$E$17*D8/453.592</f>
        <v>0</v>
      </c>
      <c r="L8" s="202">
        <f>FACTORS!$F$17*D8/453.592</f>
        <v>0</v>
      </c>
      <c r="M8" s="202">
        <f>FACTORS!$G$17*D8/453.592</f>
        <v>0</v>
      </c>
      <c r="N8" s="201">
        <f>FACTORS!$H$17*D8/453.592</f>
        <v>0</v>
      </c>
      <c r="O8" s="202">
        <f>FACTORS!$I$17*D8/453.592</f>
        <v>0</v>
      </c>
      <c r="P8" s="202">
        <f>FACTORS!$J$17*D8/453.592</f>
        <v>0</v>
      </c>
      <c r="Q8" s="204">
        <f>IFERROR(FACTORS!$K$17*D8/453.592,"--")</f>
        <v>0</v>
      </c>
      <c r="R8" s="200">
        <f>IF(I8=0,0,I8*($F8/($E8*24))*$G8*$H8/2000)</f>
        <v>0</v>
      </c>
      <c r="S8" s="202">
        <f t="shared" si="0"/>
        <v>0</v>
      </c>
      <c r="T8" s="202">
        <f t="shared" si="0"/>
        <v>0</v>
      </c>
      <c r="U8" s="202">
        <f t="shared" si="1"/>
        <v>0</v>
      </c>
      <c r="V8" s="202">
        <f t="shared" si="1"/>
        <v>0</v>
      </c>
      <c r="W8" s="202">
        <f t="shared" si="1"/>
        <v>0</v>
      </c>
      <c r="X8" s="202">
        <f>IFERROR(IF(O8=0,0,O8*($F8/($E8*24))*$G8*$H8/2000),"--")</f>
        <v>0</v>
      </c>
      <c r="Y8" s="202">
        <f>IF(P8=0,0,P8*($F8/($E8*24))*$G8*$H8/2000)</f>
        <v>0</v>
      </c>
      <c r="Z8" s="213">
        <f>IFERROR(IF(Q8=0,0,Q8*($F8/($E8*24))*$G8*$H8/2000),"--")</f>
        <v>0</v>
      </c>
      <c r="AA8" s="256"/>
      <c r="AB8" s="256"/>
      <c r="AC8" s="256"/>
      <c r="AD8" s="256"/>
      <c r="AE8" s="256"/>
      <c r="AF8" s="256"/>
      <c r="AG8" s="256"/>
      <c r="AH8" s="256"/>
      <c r="AI8" s="256"/>
      <c r="AJ8" s="256"/>
      <c r="AK8" s="256"/>
      <c r="AL8" s="256"/>
      <c r="AM8" s="256"/>
      <c r="AN8" s="256"/>
      <c r="AO8" s="256"/>
      <c r="AP8" s="256"/>
      <c r="AQ8" s="256"/>
      <c r="AR8" s="256"/>
    </row>
    <row r="9" spans="1:44" s="183" customFormat="1" ht="12.75" customHeight="1" x14ac:dyDescent="0.2">
      <c r="A9" s="206"/>
      <c r="B9" s="238" t="s">
        <v>165</v>
      </c>
      <c r="C9" s="294"/>
      <c r="D9" s="208">
        <v>0</v>
      </c>
      <c r="E9" s="209">
        <f>FACTORS!$I$2*D9</f>
        <v>0</v>
      </c>
      <c r="F9" s="201">
        <f>E9*24</f>
        <v>0</v>
      </c>
      <c r="G9" s="210">
        <v>0</v>
      </c>
      <c r="H9" s="211">
        <v>0</v>
      </c>
      <c r="I9" s="222">
        <f>FACTORS!$C$17*D9/453.592</f>
        <v>0</v>
      </c>
      <c r="J9" s="404">
        <f>FACTORS!$D$17*D9/453.592</f>
        <v>0</v>
      </c>
      <c r="K9" s="405">
        <f>FACTORS!$E$17*D9/453.592</f>
        <v>0</v>
      </c>
      <c r="L9" s="202">
        <f>FACTORS!$F$17*D9/453.592</f>
        <v>0</v>
      </c>
      <c r="M9" s="202">
        <f>FACTORS!$G$17*D9/453.592</f>
        <v>0</v>
      </c>
      <c r="N9" s="201">
        <f>FACTORS!$H$17*D9/453.592</f>
        <v>0</v>
      </c>
      <c r="O9" s="202">
        <f>FACTORS!$I$17*D9/453.592</f>
        <v>0</v>
      </c>
      <c r="P9" s="202">
        <f>FACTORS!$J$17*D9/453.592</f>
        <v>0</v>
      </c>
      <c r="Q9" s="204">
        <f>IFERROR(FACTORS!$K$17*D9/453.592,"--")</f>
        <v>0</v>
      </c>
      <c r="R9" s="200">
        <f>IF(I9=0,0,I9*($F9/($E9*24))*$G9*$H9/2000)</f>
        <v>0</v>
      </c>
      <c r="S9" s="202">
        <f t="shared" si="0"/>
        <v>0</v>
      </c>
      <c r="T9" s="202">
        <f t="shared" si="0"/>
        <v>0</v>
      </c>
      <c r="U9" s="202">
        <f t="shared" si="1"/>
        <v>0</v>
      </c>
      <c r="V9" s="202">
        <f t="shared" si="1"/>
        <v>0</v>
      </c>
      <c r="W9" s="202">
        <f t="shared" si="1"/>
        <v>0</v>
      </c>
      <c r="X9" s="202">
        <f>IFERROR(IF(O9=0,0,O9*($F9/($E9*24))*$G9*$H9/2000),"--")</f>
        <v>0</v>
      </c>
      <c r="Y9" s="202">
        <f>IF(P9=0,0,P9*($F9/($E9*24))*$G9*$H9/2000)</f>
        <v>0</v>
      </c>
      <c r="Z9" s="213">
        <f>IFERROR(IF(Q9=0,0,Q9*($F9/($E9*24))*$G9*$H9/2000),"--")</f>
        <v>0</v>
      </c>
      <c r="AA9" s="256"/>
      <c r="AB9" s="256"/>
      <c r="AC9" s="256"/>
      <c r="AD9" s="256"/>
      <c r="AE9" s="256"/>
      <c r="AF9" s="256"/>
      <c r="AG9" s="256"/>
      <c r="AH9" s="256"/>
      <c r="AI9" s="256"/>
      <c r="AJ9" s="256"/>
      <c r="AK9" s="256"/>
      <c r="AL9" s="256"/>
      <c r="AM9" s="256"/>
      <c r="AN9" s="256"/>
      <c r="AO9" s="256"/>
      <c r="AP9" s="256"/>
      <c r="AQ9" s="256"/>
      <c r="AR9" s="256"/>
    </row>
    <row r="10" spans="1:44" s="183" customFormat="1" ht="12.75" customHeight="1" x14ac:dyDescent="0.2">
      <c r="A10" s="206"/>
      <c r="B10" s="238" t="s">
        <v>165</v>
      </c>
      <c r="C10" s="294"/>
      <c r="D10" s="208">
        <v>0</v>
      </c>
      <c r="E10" s="209">
        <f>FACTORS!$I$2*D10</f>
        <v>0</v>
      </c>
      <c r="F10" s="201">
        <f>E10*24</f>
        <v>0</v>
      </c>
      <c r="G10" s="210">
        <v>0</v>
      </c>
      <c r="H10" s="211">
        <v>0</v>
      </c>
      <c r="I10" s="222">
        <f>FACTORS!$C$17*D10/453.592</f>
        <v>0</v>
      </c>
      <c r="J10" s="404">
        <f>FACTORS!$D$17*D10/453.592</f>
        <v>0</v>
      </c>
      <c r="K10" s="405">
        <f>FACTORS!$E$17*D10/453.592</f>
        <v>0</v>
      </c>
      <c r="L10" s="202">
        <f>FACTORS!$F$17*D10/453.592</f>
        <v>0</v>
      </c>
      <c r="M10" s="202">
        <f>FACTORS!$G$17*D10/453.592</f>
        <v>0</v>
      </c>
      <c r="N10" s="201">
        <f>FACTORS!$H$17*D10/453.592</f>
        <v>0</v>
      </c>
      <c r="O10" s="202">
        <f>FACTORS!$I$17*D10/453.592</f>
        <v>0</v>
      </c>
      <c r="P10" s="202">
        <f>FACTORS!$J$17*D10/453.592</f>
        <v>0</v>
      </c>
      <c r="Q10" s="204">
        <f>IFERROR(FACTORS!$K$17*D10/453.592,"--")</f>
        <v>0</v>
      </c>
      <c r="R10" s="200">
        <f>IF(I10=0,0,I10*($F10/($E10*24))*$G10*$H10/2000)</f>
        <v>0</v>
      </c>
      <c r="S10" s="202">
        <f>IF(J10=0,0,J10*($F10/($E10*24))*$G10*$H10/2000)</f>
        <v>0</v>
      </c>
      <c r="T10" s="202">
        <f t="shared" si="0"/>
        <v>0</v>
      </c>
      <c r="U10" s="202">
        <f t="shared" si="1"/>
        <v>0</v>
      </c>
      <c r="V10" s="202">
        <f t="shared" si="1"/>
        <v>0</v>
      </c>
      <c r="W10" s="202">
        <f t="shared" si="1"/>
        <v>0</v>
      </c>
      <c r="X10" s="202">
        <f>IFERROR(IF(O10=0,0,O10*($F10/($E10*24))*$G10*$H10/2000),"--")</f>
        <v>0</v>
      </c>
      <c r="Y10" s="202">
        <f>IF(P10=0,0,P10*($F10/($E10*24))*$G10*$H10/2000)</f>
        <v>0</v>
      </c>
      <c r="Z10" s="213">
        <f>IFERROR(IF(Q10=0,0,Q10*($F10/($E10*24))*$G10*$H10/2000),"--")</f>
        <v>0</v>
      </c>
      <c r="AA10" s="256"/>
      <c r="AB10" s="256"/>
      <c r="AC10" s="256"/>
      <c r="AD10" s="256"/>
      <c r="AE10" s="256"/>
      <c r="AF10" s="256"/>
      <c r="AG10" s="256"/>
      <c r="AH10" s="256"/>
      <c r="AI10" s="256"/>
      <c r="AJ10" s="256"/>
      <c r="AK10" s="256"/>
      <c r="AL10" s="256"/>
      <c r="AM10" s="256"/>
      <c r="AN10" s="256"/>
      <c r="AO10" s="256"/>
      <c r="AP10" s="256"/>
      <c r="AQ10" s="256"/>
      <c r="AR10" s="256"/>
    </row>
    <row r="11" spans="1:44" s="183" customFormat="1" x14ac:dyDescent="0.2">
      <c r="A11" s="206"/>
      <c r="B11" s="207" t="s">
        <v>194</v>
      </c>
      <c r="C11" s="207"/>
      <c r="D11" s="208">
        <v>0</v>
      </c>
      <c r="E11" s="214"/>
      <c r="F11" s="215"/>
      <c r="G11" s="208">
        <v>0</v>
      </c>
      <c r="H11" s="211">
        <v>0</v>
      </c>
      <c r="I11" s="222">
        <f>FACTORS!$C$19*D11/453.592</f>
        <v>0</v>
      </c>
      <c r="J11" s="404">
        <f>FACTORS!$D$19*D11/453.592</f>
        <v>0</v>
      </c>
      <c r="K11" s="405">
        <f>FACTORS!$E$19*D11/453.592</f>
        <v>0</v>
      </c>
      <c r="L11" s="202">
        <f>FACTORS!$F$19*D11/453.592</f>
        <v>0</v>
      </c>
      <c r="M11" s="202">
        <f>FACTORS!$G$19*D11/453.592</f>
        <v>0</v>
      </c>
      <c r="N11" s="201">
        <f>FACTORS!$H$19*D11/453.592</f>
        <v>0</v>
      </c>
      <c r="O11" s="202">
        <f>FACTORS!$I$19*D11/453.592</f>
        <v>0</v>
      </c>
      <c r="P11" s="202">
        <f>FACTORS!$J$19*D11/453.592</f>
        <v>0</v>
      </c>
      <c r="Q11" s="204">
        <f>FACTORS!$K$19*D11/453.592</f>
        <v>0</v>
      </c>
      <c r="R11" s="200">
        <f>I11*$G11*$H11/2000</f>
        <v>0</v>
      </c>
      <c r="S11" s="408">
        <f>J11*$G11*$H11/2000</f>
        <v>0</v>
      </c>
      <c r="T11" s="408">
        <f>K11*$G11*$H11/2000</f>
        <v>0</v>
      </c>
      <c r="U11" s="202">
        <f t="shared" ref="U11:Z11" si="2">L11*$G11*$H11/2000</f>
        <v>0</v>
      </c>
      <c r="V11" s="202">
        <f t="shared" si="2"/>
        <v>0</v>
      </c>
      <c r="W11" s="202">
        <f t="shared" si="2"/>
        <v>0</v>
      </c>
      <c r="X11" s="202">
        <f t="shared" si="2"/>
        <v>0</v>
      </c>
      <c r="Y11" s="202">
        <f t="shared" si="2"/>
        <v>0</v>
      </c>
      <c r="Z11" s="213">
        <f t="shared" si="2"/>
        <v>0</v>
      </c>
      <c r="AA11" s="256"/>
      <c r="AB11" s="256"/>
      <c r="AC11" s="256"/>
      <c r="AD11" s="256"/>
      <c r="AE11" s="256"/>
      <c r="AF11" s="256"/>
      <c r="AG11" s="256"/>
      <c r="AH11" s="256"/>
      <c r="AI11" s="256"/>
      <c r="AJ11" s="256"/>
      <c r="AK11" s="256"/>
      <c r="AL11" s="256"/>
      <c r="AM11" s="256"/>
      <c r="AN11" s="256"/>
      <c r="AO11" s="256"/>
      <c r="AP11" s="256"/>
      <c r="AQ11" s="256"/>
      <c r="AR11" s="256"/>
    </row>
    <row r="12" spans="1:44" s="183" customFormat="1" x14ac:dyDescent="0.2">
      <c r="A12" s="206"/>
      <c r="B12" s="207" t="s">
        <v>200</v>
      </c>
      <c r="C12" s="207"/>
      <c r="D12" s="208">
        <v>0</v>
      </c>
      <c r="E12" s="209">
        <f>FACTORS!$I$2*D12</f>
        <v>0</v>
      </c>
      <c r="F12" s="201">
        <f>E12*24</f>
        <v>0</v>
      </c>
      <c r="G12" s="210">
        <v>0</v>
      </c>
      <c r="H12" s="211">
        <v>0</v>
      </c>
      <c r="I12" s="406">
        <f>FACTORS!$C$18*D12/453.592</f>
        <v>0</v>
      </c>
      <c r="J12" s="404">
        <f>FACTORS!$D$18*D12/453.592</f>
        <v>0</v>
      </c>
      <c r="K12" s="405">
        <f>FACTORS!$E$18*D12/453.592</f>
        <v>0</v>
      </c>
      <c r="L12" s="202">
        <f>FACTORS!$F$18*D12/453.592</f>
        <v>0</v>
      </c>
      <c r="M12" s="202">
        <f>FACTORS!$G$18*D12/453.592</f>
        <v>0</v>
      </c>
      <c r="N12" s="201">
        <f>FACTORS!$H$18*D12/453.592</f>
        <v>0</v>
      </c>
      <c r="O12" s="202">
        <f>FACTORS!$I$18*D12/453.592</f>
        <v>0</v>
      </c>
      <c r="P12" s="202">
        <f>FACTORS!$J$18*D12/453.592</f>
        <v>0</v>
      </c>
      <c r="Q12" s="204">
        <f>FACTORS!$K$18*D12/453.592</f>
        <v>0</v>
      </c>
      <c r="R12" s="200">
        <f>IF(I12=0,0,I12*($F12/($E12*24))*$G12*$H12/2000)</f>
        <v>0</v>
      </c>
      <c r="S12" s="202">
        <f t="shared" ref="S12:W12" si="3">IF(J12=0,0,J12*($F12/($E12*24))*$G12*$H12/2000)</f>
        <v>0</v>
      </c>
      <c r="T12" s="202">
        <f t="shared" si="3"/>
        <v>0</v>
      </c>
      <c r="U12" s="202">
        <f t="shared" si="3"/>
        <v>0</v>
      </c>
      <c r="V12" s="202">
        <f t="shared" si="3"/>
        <v>0</v>
      </c>
      <c r="W12" s="202">
        <f t="shared" si="3"/>
        <v>0</v>
      </c>
      <c r="X12" s="202">
        <f>IFERROR(IF(O12=0,0,O12*($F12/($E12*24))*$G12*$H12/2000),"--")</f>
        <v>0</v>
      </c>
      <c r="Y12" s="202">
        <f t="shared" ref="Y12" si="4">IF(P12=0,0,P12*($F12/($E12*24))*$G12*$H12/2000)</f>
        <v>0</v>
      </c>
      <c r="Z12" s="213">
        <f>IFERROR(IF(Q12=0,0,Q12*($F12/($E12*24))*$G12*$H12/2000),"--")</f>
        <v>0</v>
      </c>
      <c r="AA12" s="256"/>
      <c r="AB12" s="256"/>
      <c r="AC12" s="256"/>
      <c r="AD12" s="256"/>
      <c r="AE12" s="256"/>
      <c r="AF12" s="256"/>
      <c r="AG12" s="256"/>
      <c r="AH12" s="256"/>
      <c r="AI12" s="256"/>
      <c r="AJ12" s="256"/>
      <c r="AK12" s="256"/>
      <c r="AL12" s="256"/>
      <c r="AM12" s="256"/>
      <c r="AN12" s="256"/>
      <c r="AO12" s="256"/>
      <c r="AP12" s="256"/>
      <c r="AQ12" s="256"/>
      <c r="AR12" s="256"/>
    </row>
    <row r="13" spans="1:44" ht="12.75" customHeight="1" x14ac:dyDescent="0.2">
      <c r="A13" s="61"/>
      <c r="B13" s="62"/>
      <c r="C13" s="62"/>
      <c r="D13" s="63"/>
      <c r="E13" s="64" t="s">
        <v>0</v>
      </c>
      <c r="F13" s="65"/>
      <c r="G13" s="66"/>
      <c r="H13" s="67"/>
      <c r="I13" s="59" t="s">
        <v>0</v>
      </c>
      <c r="J13" s="60"/>
      <c r="K13" s="374"/>
      <c r="L13" s="60" t="s">
        <v>0</v>
      </c>
      <c r="M13" s="60"/>
      <c r="N13" s="58"/>
      <c r="O13" s="60"/>
      <c r="P13" s="60"/>
      <c r="Q13" s="151"/>
      <c r="R13" s="75"/>
      <c r="S13" s="60"/>
      <c r="T13" s="60"/>
      <c r="U13" s="60"/>
      <c r="V13" s="60"/>
      <c r="W13" s="60"/>
      <c r="X13" s="68"/>
      <c r="Y13" s="68"/>
      <c r="Z13" s="69"/>
    </row>
    <row r="14" spans="1:44" s="183" customFormat="1" ht="12.75" customHeight="1" x14ac:dyDescent="0.2">
      <c r="A14" s="206" t="s">
        <v>183</v>
      </c>
      <c r="B14" s="207" t="s">
        <v>121</v>
      </c>
      <c r="C14" s="207"/>
      <c r="D14" s="208">
        <v>0</v>
      </c>
      <c r="E14" s="216">
        <f>FACTORS!$I$2*D14</f>
        <v>0</v>
      </c>
      <c r="F14" s="201">
        <f>E14*24</f>
        <v>0</v>
      </c>
      <c r="G14" s="210">
        <v>0</v>
      </c>
      <c r="H14" s="211">
        <v>0</v>
      </c>
      <c r="I14" s="236">
        <f>FACTORS!$C$17*D14/453.592</f>
        <v>0</v>
      </c>
      <c r="J14" s="407">
        <f>FACTORS!$D$17*D14/453.592</f>
        <v>0</v>
      </c>
      <c r="K14" s="409">
        <f>FACTORS!$E$17*D14/453.592</f>
        <v>0</v>
      </c>
      <c r="L14" s="219">
        <f>FACTORS!$F$17*D14/453.592</f>
        <v>0</v>
      </c>
      <c r="M14" s="219">
        <f>FACTORS!$G$17*D14/453.592</f>
        <v>0</v>
      </c>
      <c r="N14" s="218">
        <f>FACTORS!$H$17*D14/453.592</f>
        <v>0</v>
      </c>
      <c r="O14" s="219">
        <f>FACTORS!$I$17*D14/453.592</f>
        <v>0</v>
      </c>
      <c r="P14" s="219">
        <f>FACTORS!$J$17*D14/453.592</f>
        <v>0</v>
      </c>
      <c r="Q14" s="220">
        <f>FACTORS!$K$17*D14/453.592</f>
        <v>0</v>
      </c>
      <c r="R14" s="217">
        <f>IF(I14=0,0,I14*($F14/($E14*24))*$G14*$H14/2000)</f>
        <v>0</v>
      </c>
      <c r="S14" s="219">
        <f t="shared" ref="S14:W14" si="5">IF(J14=0,0,J14*($F14/($E14*24))*$G14*$H14/2000)</f>
        <v>0</v>
      </c>
      <c r="T14" s="219">
        <f t="shared" si="5"/>
        <v>0</v>
      </c>
      <c r="U14" s="219">
        <f t="shared" si="5"/>
        <v>0</v>
      </c>
      <c r="V14" s="219">
        <f t="shared" si="5"/>
        <v>0</v>
      </c>
      <c r="W14" s="219">
        <f t="shared" si="5"/>
        <v>0</v>
      </c>
      <c r="X14" s="219">
        <f>IFERROR(IF(O14=0,0,O14*($F14/($E14*24))*$G14*$H14/2000),"--")</f>
        <v>0</v>
      </c>
      <c r="Y14" s="219">
        <f t="shared" ref="Y14" si="6">IF(P14=0,0,P14*($F14/($E14*24))*$G14*$H14/2000)</f>
        <v>0</v>
      </c>
      <c r="Z14" s="221">
        <f>IFERROR(IF(Q14=0,0,Q14*($F14/($E14*24))*$G14*$H14/2000),"--")</f>
        <v>0</v>
      </c>
      <c r="AA14" s="256"/>
      <c r="AB14" s="256"/>
      <c r="AC14" s="256"/>
      <c r="AD14" s="256"/>
      <c r="AE14" s="256"/>
      <c r="AF14" s="256"/>
      <c r="AG14" s="256"/>
      <c r="AH14" s="256"/>
      <c r="AI14" s="256"/>
      <c r="AJ14" s="256"/>
      <c r="AK14" s="256"/>
      <c r="AL14" s="256"/>
      <c r="AM14" s="256"/>
      <c r="AN14" s="256"/>
      <c r="AO14" s="256"/>
      <c r="AP14" s="256"/>
      <c r="AQ14" s="256"/>
      <c r="AR14" s="256"/>
    </row>
    <row r="15" spans="1:44" ht="12.75" customHeight="1" x14ac:dyDescent="0.2">
      <c r="A15" s="61"/>
      <c r="B15" s="62"/>
      <c r="C15" s="62"/>
      <c r="D15" s="450" t="s">
        <v>205</v>
      </c>
      <c r="E15" s="64" t="s">
        <v>0</v>
      </c>
      <c r="F15" s="65"/>
      <c r="G15" s="66"/>
      <c r="H15" s="67"/>
      <c r="I15" s="59" t="s">
        <v>0</v>
      </c>
      <c r="J15" s="414" t="s">
        <v>0</v>
      </c>
      <c r="K15" s="415" t="s">
        <v>0</v>
      </c>
      <c r="L15" s="60" t="s">
        <v>0</v>
      </c>
      <c r="M15" s="60"/>
      <c r="N15" s="58"/>
      <c r="O15" s="60"/>
      <c r="P15" s="60"/>
      <c r="Q15" s="151"/>
      <c r="R15" s="75"/>
      <c r="S15" s="60"/>
      <c r="T15" s="60"/>
      <c r="U15" s="60"/>
      <c r="V15" s="60"/>
      <c r="W15" s="60"/>
      <c r="X15" s="68"/>
      <c r="Y15" s="68"/>
      <c r="Z15" s="69"/>
    </row>
    <row r="16" spans="1:44" ht="12.75" customHeight="1" x14ac:dyDescent="0.2">
      <c r="A16" s="230" t="s">
        <v>61</v>
      </c>
      <c r="B16" s="231" t="s">
        <v>31</v>
      </c>
      <c r="C16" s="232"/>
      <c r="D16" s="233">
        <v>0</v>
      </c>
      <c r="E16" s="227"/>
      <c r="F16" s="228"/>
      <c r="G16" s="234">
        <v>0</v>
      </c>
      <c r="H16" s="235">
        <v>0</v>
      </c>
      <c r="I16" s="236">
        <f>FACTORS!$C$27*D16/24</f>
        <v>0</v>
      </c>
      <c r="J16" s="407">
        <f>FACTORS!$D$27*D16/24</f>
        <v>0</v>
      </c>
      <c r="K16" s="409">
        <f>FACTORS!$E$27*D16/24</f>
        <v>0</v>
      </c>
      <c r="L16" s="219">
        <f>FACTORS!$F$27*D16/24</f>
        <v>0</v>
      </c>
      <c r="M16" s="219">
        <f>FACTORS!$G$27*D16/24</f>
        <v>0</v>
      </c>
      <c r="N16" s="218">
        <f>FACTORS!$H$27*D16/24</f>
        <v>0</v>
      </c>
      <c r="O16" s="218">
        <f>FACTORS!$I$27*D16/24</f>
        <v>0</v>
      </c>
      <c r="P16" s="219">
        <f>FACTORS!$J$27*D16/24</f>
        <v>0</v>
      </c>
      <c r="Q16" s="219">
        <f>FACTORS!$K$27*D16/24</f>
        <v>0</v>
      </c>
      <c r="R16" s="236">
        <f>IFERROR(I16*$G16*$H16/2000, "--")</f>
        <v>0</v>
      </c>
      <c r="S16" s="408">
        <f>IFERROR(J16*$G16*$H16/2000, "--")</f>
        <v>0</v>
      </c>
      <c r="T16" s="409">
        <f>IFERROR(K16*$G16*$H16/2000, "--")</f>
        <v>0</v>
      </c>
      <c r="U16" s="219">
        <f t="shared" ref="U16:Z16" si="7">IFERROR(L16*$G16*$H16/2000, "--")</f>
        <v>0</v>
      </c>
      <c r="V16" s="219">
        <f t="shared" si="7"/>
        <v>0</v>
      </c>
      <c r="W16" s="219">
        <f t="shared" si="7"/>
        <v>0</v>
      </c>
      <c r="X16" s="219">
        <f t="shared" si="7"/>
        <v>0</v>
      </c>
      <c r="Y16" s="218">
        <f t="shared" si="7"/>
        <v>0</v>
      </c>
      <c r="Z16" s="221">
        <f t="shared" si="7"/>
        <v>0</v>
      </c>
    </row>
    <row r="17" spans="1:44" ht="15" customHeight="1" x14ac:dyDescent="0.2">
      <c r="A17" s="237" t="s">
        <v>65</v>
      </c>
      <c r="B17" s="207" t="s">
        <v>128</v>
      </c>
      <c r="C17" s="238"/>
      <c r="D17" s="239"/>
      <c r="E17" s="209">
        <v>0</v>
      </c>
      <c r="F17" s="229" t="s">
        <v>0</v>
      </c>
      <c r="G17" s="208">
        <v>0</v>
      </c>
      <c r="H17" s="211">
        <v>0</v>
      </c>
      <c r="I17" s="222">
        <f>FACTORS!$C$22*E17/1000000</f>
        <v>0</v>
      </c>
      <c r="J17" s="408">
        <f>FACTORS!$D$22*E17/1000000</f>
        <v>0</v>
      </c>
      <c r="K17" s="404">
        <f>FACTORS!$E$22*E17/1000000</f>
        <v>0</v>
      </c>
      <c r="L17" s="202">
        <f>FACTORS!$F$22*E17/1000000</f>
        <v>0</v>
      </c>
      <c r="M17" s="202">
        <f>FACTORS!$G$22*E17/1000000</f>
        <v>0</v>
      </c>
      <c r="N17" s="201">
        <f>FACTORS!$H$22*E17/1000000</f>
        <v>0</v>
      </c>
      <c r="O17" s="202" t="str">
        <f>IFERROR(FACTORS!$I$22*E17/1000000,"--")</f>
        <v>--</v>
      </c>
      <c r="P17" s="202">
        <f>FACTORS!$J$22*E17/1000000</f>
        <v>0</v>
      </c>
      <c r="Q17" s="212" t="str">
        <f>IFERROR(FACTORS!$K$22*E17/1000000, "--")</f>
        <v>--</v>
      </c>
      <c r="R17" s="222">
        <f>IFERROR(I17*$G17*$H17/2000,"--")</f>
        <v>0</v>
      </c>
      <c r="S17" s="408">
        <f t="shared" ref="S17:Z20" si="8">IFERROR(J17*$G17*$H17/2000,"--")</f>
        <v>0</v>
      </c>
      <c r="T17" s="404">
        <f t="shared" si="8"/>
        <v>0</v>
      </c>
      <c r="U17" s="202">
        <f t="shared" si="8"/>
        <v>0</v>
      </c>
      <c r="V17" s="202">
        <f t="shared" si="8"/>
        <v>0</v>
      </c>
      <c r="W17" s="202">
        <f t="shared" si="8"/>
        <v>0</v>
      </c>
      <c r="X17" s="202" t="str">
        <f t="shared" si="8"/>
        <v>--</v>
      </c>
      <c r="Y17" s="202">
        <f t="shared" si="8"/>
        <v>0</v>
      </c>
      <c r="Z17" s="213" t="str">
        <f t="shared" si="8"/>
        <v>--</v>
      </c>
    </row>
    <row r="18" spans="1:44" ht="15" customHeight="1" x14ac:dyDescent="0.2">
      <c r="A18" s="237"/>
      <c r="B18" s="207" t="s">
        <v>129</v>
      </c>
      <c r="C18" s="207"/>
      <c r="D18" s="240"/>
      <c r="E18" s="209">
        <v>0</v>
      </c>
      <c r="F18" s="229" t="s">
        <v>0</v>
      </c>
      <c r="G18" s="208">
        <v>0</v>
      </c>
      <c r="H18" s="211">
        <v>0</v>
      </c>
      <c r="I18" s="222">
        <f>FACTORS!$C$23*E18/1000000</f>
        <v>0</v>
      </c>
      <c r="J18" s="408">
        <f>FACTORS!$D$23*E18/1000000</f>
        <v>0</v>
      </c>
      <c r="K18" s="404">
        <f>FACTORS!$E$23*E18/1000000</f>
        <v>0</v>
      </c>
      <c r="L18" s="202">
        <f>FACTORS!$F$23*E18/1000000</f>
        <v>0</v>
      </c>
      <c r="M18" s="202">
        <f>FACTORS!$G$23*E18/1000000</f>
        <v>0</v>
      </c>
      <c r="N18" s="201">
        <f>FACTORS!$H$23*E18/1000000</f>
        <v>0</v>
      </c>
      <c r="O18" s="202" t="str">
        <f>IFERROR(FACTORS!$I$23*E18/1000000, "--")</f>
        <v>--</v>
      </c>
      <c r="P18" s="202">
        <f>FACTORS!$J$23*E18/1000000</f>
        <v>0</v>
      </c>
      <c r="Q18" s="223" t="str">
        <f>IFERROR(FACTORS!$K$23*E18/1000000, "--")</f>
        <v>--</v>
      </c>
      <c r="R18" s="222">
        <f>IFERROR(I18*$G18*$H18/2000,"--")</f>
        <v>0</v>
      </c>
      <c r="S18" s="408">
        <f t="shared" si="8"/>
        <v>0</v>
      </c>
      <c r="T18" s="404">
        <f t="shared" si="8"/>
        <v>0</v>
      </c>
      <c r="U18" s="202">
        <f t="shared" si="8"/>
        <v>0</v>
      </c>
      <c r="V18" s="202">
        <f t="shared" si="8"/>
        <v>0</v>
      </c>
      <c r="W18" s="202">
        <f t="shared" si="8"/>
        <v>0</v>
      </c>
      <c r="X18" s="202" t="str">
        <f t="shared" si="8"/>
        <v>--</v>
      </c>
      <c r="Y18" s="202">
        <f t="shared" si="8"/>
        <v>0</v>
      </c>
      <c r="Z18" s="213" t="str">
        <f t="shared" si="8"/>
        <v>--</v>
      </c>
    </row>
    <row r="19" spans="1:44" ht="15" customHeight="1" x14ac:dyDescent="0.2">
      <c r="A19" s="237"/>
      <c r="B19" s="207" t="s">
        <v>130</v>
      </c>
      <c r="C19" s="207"/>
      <c r="D19" s="240"/>
      <c r="E19" s="209">
        <v>0</v>
      </c>
      <c r="F19" s="229" t="s">
        <v>0</v>
      </c>
      <c r="G19" s="208">
        <v>0</v>
      </c>
      <c r="H19" s="211">
        <v>0</v>
      </c>
      <c r="I19" s="222">
        <f>FACTORS!$C$24*E19/1000000</f>
        <v>0</v>
      </c>
      <c r="J19" s="408">
        <f>FACTORS!$D$24*E19/1000000</f>
        <v>0</v>
      </c>
      <c r="K19" s="404">
        <f>FACTORS!$E$24*E19/1000000</f>
        <v>0</v>
      </c>
      <c r="L19" s="202">
        <f>FACTORS!$F$24*E19/1000000</f>
        <v>0</v>
      </c>
      <c r="M19" s="202">
        <f>FACTORS!$G$24*E19/1000000</f>
        <v>0</v>
      </c>
      <c r="N19" s="201">
        <f>FACTORS!$H$24*E19/1000000</f>
        <v>0</v>
      </c>
      <c r="O19" s="202" t="str">
        <f>IFERROR(FACTORS!$I$24*E19/1000000, "--")</f>
        <v>--</v>
      </c>
      <c r="P19" s="202">
        <f>FACTORS!$J$24*E19/1000000</f>
        <v>0</v>
      </c>
      <c r="Q19" s="223" t="str">
        <f>IFERROR(FACTORS!$K$24*E19/1000000, "--")</f>
        <v>--</v>
      </c>
      <c r="R19" s="222">
        <f>IFERROR(I19*$G19*$H19/2000,"--")</f>
        <v>0</v>
      </c>
      <c r="S19" s="408">
        <f t="shared" si="8"/>
        <v>0</v>
      </c>
      <c r="T19" s="404">
        <f t="shared" si="8"/>
        <v>0</v>
      </c>
      <c r="U19" s="202">
        <f t="shared" si="8"/>
        <v>0</v>
      </c>
      <c r="V19" s="202">
        <f t="shared" si="8"/>
        <v>0</v>
      </c>
      <c r="W19" s="202">
        <f t="shared" si="8"/>
        <v>0</v>
      </c>
      <c r="X19" s="202" t="str">
        <f t="shared" si="8"/>
        <v>--</v>
      </c>
      <c r="Y19" s="202">
        <f t="shared" si="8"/>
        <v>0</v>
      </c>
      <c r="Z19" s="213" t="str">
        <f t="shared" si="8"/>
        <v>--</v>
      </c>
    </row>
    <row r="20" spans="1:44" ht="15" customHeight="1" x14ac:dyDescent="0.2">
      <c r="A20" s="237"/>
      <c r="B20" s="207" t="s">
        <v>131</v>
      </c>
      <c r="C20" s="207"/>
      <c r="D20" s="240"/>
      <c r="E20" s="209">
        <v>0</v>
      </c>
      <c r="F20" s="229" t="s">
        <v>0</v>
      </c>
      <c r="G20" s="208">
        <v>0</v>
      </c>
      <c r="H20" s="211">
        <v>0</v>
      </c>
      <c r="I20" s="222">
        <f>FACTORS!$C$25*E20/1000000</f>
        <v>0</v>
      </c>
      <c r="J20" s="408">
        <f>FACTORS!$D$25*E20/1000000</f>
        <v>0</v>
      </c>
      <c r="K20" s="404">
        <f>FACTORS!$E$25*E20/1000000</f>
        <v>0</v>
      </c>
      <c r="L20" s="202">
        <f>FACTORS!$F$25*E20/1000000</f>
        <v>0</v>
      </c>
      <c r="M20" s="202">
        <f>FACTORS!$G$25*E20/1000000</f>
        <v>0</v>
      </c>
      <c r="N20" s="201">
        <f>FACTORS!$H$25*E20/1000000</f>
        <v>0</v>
      </c>
      <c r="O20" s="202" t="str">
        <f>IFERROR(FACTORS!$I$25*E20/1000000, "--")</f>
        <v>--</v>
      </c>
      <c r="P20" s="202">
        <f>FACTORS!$J$25*E20/1000000</f>
        <v>0</v>
      </c>
      <c r="Q20" s="223" t="str">
        <f>IFERROR(FACTORS!$K$25*E20/1000000, "--")</f>
        <v>--</v>
      </c>
      <c r="R20" s="328">
        <f>IFERROR(I20*$G20*$H20/2000,"--")</f>
        <v>0</v>
      </c>
      <c r="S20" s="410">
        <f t="shared" si="8"/>
        <v>0</v>
      </c>
      <c r="T20" s="411">
        <f>IFERROR(K20*$G20*$H20/2000,"--")</f>
        <v>0</v>
      </c>
      <c r="U20" s="225">
        <f t="shared" si="8"/>
        <v>0</v>
      </c>
      <c r="V20" s="225">
        <f t="shared" si="8"/>
        <v>0</v>
      </c>
      <c r="W20" s="225">
        <f t="shared" si="8"/>
        <v>0</v>
      </c>
      <c r="X20" s="225" t="str">
        <f t="shared" si="8"/>
        <v>--</v>
      </c>
      <c r="Y20" s="225">
        <f t="shared" si="8"/>
        <v>0</v>
      </c>
      <c r="Z20" s="226" t="str">
        <f t="shared" si="8"/>
        <v>--</v>
      </c>
    </row>
    <row r="21" spans="1:44" ht="24.75" customHeight="1" x14ac:dyDescent="0.2">
      <c r="A21" s="360" t="s">
        <v>184</v>
      </c>
      <c r="B21" s="362" t="s">
        <v>160</v>
      </c>
      <c r="C21" s="157"/>
      <c r="D21" s="357" t="s">
        <v>100</v>
      </c>
      <c r="E21" s="74"/>
      <c r="F21" s="74"/>
      <c r="G21" s="169" t="s">
        <v>60</v>
      </c>
      <c r="H21" s="358" t="s">
        <v>71</v>
      </c>
      <c r="I21" s="375"/>
      <c r="J21" s="425"/>
      <c r="K21" s="426"/>
      <c r="L21" s="320"/>
      <c r="M21" s="320"/>
      <c r="N21" s="121"/>
      <c r="O21" s="320"/>
      <c r="P21" s="320"/>
      <c r="Q21" s="359"/>
      <c r="R21" s="59"/>
      <c r="S21" s="414"/>
      <c r="T21" s="415"/>
      <c r="U21" s="60"/>
      <c r="V21" s="60"/>
      <c r="W21" s="60"/>
      <c r="X21" s="60"/>
      <c r="Y21" s="60"/>
      <c r="Z21" s="110"/>
    </row>
    <row r="22" spans="1:44" s="183" customFormat="1" ht="12.75" customHeight="1" x14ac:dyDescent="0.2">
      <c r="A22" s="324"/>
      <c r="B22" s="271" t="s">
        <v>120</v>
      </c>
      <c r="C22" s="272"/>
      <c r="D22" s="273">
        <v>0</v>
      </c>
      <c r="E22" s="270"/>
      <c r="F22" s="270"/>
      <c r="G22" s="273">
        <v>0</v>
      </c>
      <c r="H22" s="325">
        <v>0</v>
      </c>
      <c r="I22" s="328">
        <f>FACTORS!$C$41*D22/453.592</f>
        <v>0</v>
      </c>
      <c r="J22" s="410">
        <f>FACTORS!$D$41*D22/453.592</f>
        <v>0</v>
      </c>
      <c r="K22" s="411">
        <f>FACTORS!$E$41*D22/453.592</f>
        <v>0</v>
      </c>
      <c r="L22" s="225">
        <f>FACTORS!$F$41*D22/453.592</f>
        <v>0</v>
      </c>
      <c r="M22" s="225">
        <f>FACTORS!$G$41*D22/453.592</f>
        <v>0</v>
      </c>
      <c r="N22" s="326">
        <f>FACTORS!$H$41*D22/453.592</f>
        <v>0</v>
      </c>
      <c r="O22" s="365" t="s">
        <v>108</v>
      </c>
      <c r="P22" s="225">
        <f>FACTORS!$J$41*D22/453.592</f>
        <v>0</v>
      </c>
      <c r="Q22" s="356">
        <f>FACTORS!$K$41*D22/453.592</f>
        <v>0</v>
      </c>
      <c r="R22" s="224">
        <f t="shared" ref="R22" si="9">IFERROR((I22*$G22*$H22)/2000, "")</f>
        <v>0</v>
      </c>
      <c r="S22" s="410">
        <f>IFERROR((J22*$G22*$H22)/2000, "")</f>
        <v>0</v>
      </c>
      <c r="T22" s="411">
        <f>IFERROR((K22*$G22*$H22)/2000, "")</f>
        <v>0</v>
      </c>
      <c r="U22" s="327">
        <f t="shared" ref="U22:W22" si="10">IFERROR((L22*$G22*$H22)/2000, "")</f>
        <v>0</v>
      </c>
      <c r="V22" s="327">
        <f t="shared" si="10"/>
        <v>0</v>
      </c>
      <c r="W22" s="327">
        <f t="shared" si="10"/>
        <v>0</v>
      </c>
      <c r="X22" s="327" t="str">
        <f>IFERROR((O22*$G22*$H22)/2000, "--")</f>
        <v>--</v>
      </c>
      <c r="Y22" s="327">
        <f t="shared" ref="Y22:Z22" si="11">IFERROR((P22*$G22*$H22)/2000, "")</f>
        <v>0</v>
      </c>
      <c r="Z22" s="226">
        <f t="shared" si="11"/>
        <v>0</v>
      </c>
      <c r="AA22" s="256"/>
      <c r="AB22" s="256"/>
      <c r="AC22" s="256"/>
      <c r="AD22" s="256"/>
      <c r="AE22" s="256"/>
      <c r="AF22" s="256"/>
      <c r="AG22" s="256"/>
      <c r="AH22" s="256"/>
      <c r="AI22" s="256"/>
      <c r="AJ22" s="256"/>
      <c r="AK22" s="256"/>
      <c r="AL22" s="256"/>
      <c r="AM22" s="256"/>
      <c r="AN22" s="256"/>
      <c r="AO22" s="256"/>
      <c r="AP22" s="256"/>
      <c r="AQ22" s="256"/>
      <c r="AR22" s="256"/>
    </row>
    <row r="23" spans="1:44" s="252" customFormat="1" ht="12.75" customHeight="1" x14ac:dyDescent="0.2">
      <c r="A23" s="248">
        <f>EMISSIONS7!A23+1</f>
        <v>2027</v>
      </c>
      <c r="B23" s="249" t="s">
        <v>123</v>
      </c>
      <c r="C23" s="355"/>
      <c r="D23" s="241"/>
      <c r="E23" s="241"/>
      <c r="F23" s="250"/>
      <c r="G23" s="241"/>
      <c r="H23" s="251"/>
      <c r="I23" s="379">
        <f t="shared" ref="I23:Q23" si="12">SUM(I7:I22)</f>
        <v>0</v>
      </c>
      <c r="J23" s="412">
        <f t="shared" si="12"/>
        <v>0</v>
      </c>
      <c r="K23" s="413">
        <f t="shared" si="12"/>
        <v>0</v>
      </c>
      <c r="L23" s="253">
        <f t="shared" si="12"/>
        <v>0</v>
      </c>
      <c r="M23" s="253">
        <f t="shared" si="12"/>
        <v>0</v>
      </c>
      <c r="N23" s="253">
        <f t="shared" si="12"/>
        <v>0</v>
      </c>
      <c r="O23" s="253">
        <f t="shared" si="12"/>
        <v>0</v>
      </c>
      <c r="P23" s="253">
        <f t="shared" si="12"/>
        <v>0</v>
      </c>
      <c r="Q23" s="253">
        <f t="shared" si="12"/>
        <v>0</v>
      </c>
      <c r="R23" s="382">
        <f t="shared" ref="R23:Z23" si="13">SUM(R7:R22)</f>
        <v>0</v>
      </c>
      <c r="S23" s="412">
        <f t="shared" si="13"/>
        <v>0</v>
      </c>
      <c r="T23" s="413">
        <f t="shared" si="13"/>
        <v>0</v>
      </c>
      <c r="U23" s="253">
        <f t="shared" si="13"/>
        <v>0</v>
      </c>
      <c r="V23" s="253">
        <f t="shared" si="13"/>
        <v>0</v>
      </c>
      <c r="W23" s="253">
        <f t="shared" si="13"/>
        <v>0</v>
      </c>
      <c r="X23" s="253">
        <f t="shared" si="13"/>
        <v>0</v>
      </c>
      <c r="Y23" s="253">
        <f t="shared" si="13"/>
        <v>0</v>
      </c>
      <c r="Z23" s="261">
        <f t="shared" si="13"/>
        <v>0</v>
      </c>
      <c r="AA23" s="256"/>
      <c r="AB23" s="256"/>
      <c r="AC23" s="256"/>
      <c r="AD23" s="256"/>
      <c r="AE23" s="256"/>
      <c r="AF23" s="256"/>
      <c r="AG23" s="256"/>
      <c r="AH23" s="256"/>
      <c r="AI23" s="256"/>
      <c r="AJ23" s="256"/>
      <c r="AK23" s="256"/>
      <c r="AL23" s="256"/>
      <c r="AM23" s="256"/>
      <c r="AN23" s="256"/>
      <c r="AO23" s="256"/>
      <c r="AP23" s="256"/>
      <c r="AQ23" s="256"/>
      <c r="AR23" s="256"/>
    </row>
    <row r="24" spans="1:44" ht="26.1" customHeight="1" x14ac:dyDescent="0.2">
      <c r="A24" s="280" t="s">
        <v>66</v>
      </c>
      <c r="B24" s="76" t="s">
        <v>67</v>
      </c>
      <c r="C24" s="76"/>
      <c r="D24" s="70"/>
      <c r="E24" s="70"/>
      <c r="F24" s="71"/>
      <c r="G24" s="70"/>
      <c r="H24" s="119"/>
      <c r="I24" s="376"/>
      <c r="J24" s="421"/>
      <c r="K24" s="422"/>
      <c r="L24" s="285"/>
      <c r="M24" s="285"/>
      <c r="N24" s="285"/>
      <c r="O24" s="285"/>
      <c r="P24" s="285"/>
      <c r="Q24" s="120"/>
      <c r="R24" s="378">
        <f>33.3*$B$25</f>
        <v>0</v>
      </c>
      <c r="S24" s="417"/>
      <c r="T24" s="418"/>
      <c r="U24" s="288">
        <f>33.3*$B$25</f>
        <v>0</v>
      </c>
      <c r="V24" s="288">
        <f>33.3*$B$25</f>
        <v>0</v>
      </c>
      <c r="W24" s="288">
        <f>33.3*$B$25</f>
        <v>0</v>
      </c>
      <c r="X24" s="288"/>
      <c r="Y24" s="288">
        <f>3400*$B$25^(2/3)</f>
        <v>0</v>
      </c>
      <c r="Z24" s="289"/>
    </row>
    <row r="25" spans="1:44" s="276" customFormat="1" ht="12.75" customHeight="1" x14ac:dyDescent="0.2">
      <c r="A25" s="350"/>
      <c r="B25" s="137">
        <f>EMISSIONS1!B25</f>
        <v>0</v>
      </c>
      <c r="C25" s="137"/>
      <c r="D25" s="11"/>
      <c r="E25" s="11"/>
      <c r="F25" s="136"/>
      <c r="G25" s="11"/>
      <c r="H25" s="72"/>
      <c r="I25" s="321"/>
      <c r="J25" s="387"/>
      <c r="K25" s="416"/>
      <c r="L25" s="153"/>
      <c r="M25" s="153"/>
      <c r="N25" s="153"/>
      <c r="O25" s="153"/>
      <c r="P25" s="153"/>
      <c r="Q25" s="351"/>
      <c r="R25" s="352"/>
      <c r="S25" s="419"/>
      <c r="T25" s="420"/>
      <c r="U25" s="353"/>
      <c r="V25" s="353"/>
      <c r="W25" s="353"/>
      <c r="X25" s="353"/>
      <c r="Y25" s="353"/>
      <c r="Z25" s="354"/>
      <c r="AA25" s="275"/>
      <c r="AB25" s="275"/>
      <c r="AC25" s="275"/>
      <c r="AD25" s="275"/>
      <c r="AE25" s="275"/>
      <c r="AF25" s="275"/>
      <c r="AG25" s="275"/>
      <c r="AH25" s="275"/>
      <c r="AI25" s="275"/>
      <c r="AJ25" s="275"/>
      <c r="AK25" s="275"/>
      <c r="AL25" s="275"/>
      <c r="AM25" s="275"/>
      <c r="AN25" s="275"/>
      <c r="AO25" s="275"/>
      <c r="AP25" s="275"/>
      <c r="AQ25" s="275"/>
      <c r="AR25" s="275"/>
    </row>
    <row r="26" spans="1:44" s="183" customFormat="1" ht="12.75" customHeight="1" x14ac:dyDescent="0.2">
      <c r="A26" s="174" t="s">
        <v>61</v>
      </c>
      <c r="B26" s="175" t="s">
        <v>114</v>
      </c>
      <c r="C26" s="175"/>
      <c r="D26" s="176">
        <v>0</v>
      </c>
      <c r="E26" s="177">
        <f>FACTORS!$I$2*D26</f>
        <v>0</v>
      </c>
      <c r="F26" s="178">
        <f t="shared" ref="F26:F32" si="14">E26*24</f>
        <v>0</v>
      </c>
      <c r="G26" s="179">
        <v>0</v>
      </c>
      <c r="H26" s="180">
        <v>0</v>
      </c>
      <c r="I26" s="184">
        <f>FACTORS!$C$17*D26/453.592</f>
        <v>0</v>
      </c>
      <c r="J26" s="332">
        <f>FACTORS!$D$17*D26/453.592</f>
        <v>0</v>
      </c>
      <c r="K26" s="246">
        <f>FACTORS!$E$17*D26/453.592</f>
        <v>0</v>
      </c>
      <c r="L26" s="181">
        <f>FACTORS!$F$17*D26/453.592</f>
        <v>0</v>
      </c>
      <c r="M26" s="181">
        <f>FACTORS!$G$17*D26/453.592</f>
        <v>0</v>
      </c>
      <c r="N26" s="178">
        <f>FACTORS!$H$17*D26/453.592</f>
        <v>0</v>
      </c>
      <c r="O26" s="181">
        <f>FACTORS!$I$17*D26/453.592</f>
        <v>0</v>
      </c>
      <c r="P26" s="181">
        <f>FACTORS!$J$17*D26/453.592</f>
        <v>0</v>
      </c>
      <c r="Q26" s="191">
        <f>FACTORS!$K$17*D26/453.592</f>
        <v>0</v>
      </c>
      <c r="R26" s="184">
        <f t="shared" ref="R26:W32" si="15">IF(I26=0,0,I26*($F26/($E26*24))*$G26*$H26/2000)</f>
        <v>0</v>
      </c>
      <c r="S26" s="332">
        <f t="shared" si="15"/>
        <v>0</v>
      </c>
      <c r="T26" s="246">
        <f t="shared" si="15"/>
        <v>0</v>
      </c>
      <c r="U26" s="181">
        <f t="shared" si="15"/>
        <v>0</v>
      </c>
      <c r="V26" s="181">
        <f t="shared" si="15"/>
        <v>0</v>
      </c>
      <c r="W26" s="181">
        <f t="shared" si="15"/>
        <v>0</v>
      </c>
      <c r="X26" s="181">
        <f t="shared" ref="X26:X32" si="16">IFERROR(IF(O26=0,0,O26*($F26/($E26*24))*$G26*$H26/2000),"--")</f>
        <v>0</v>
      </c>
      <c r="Y26" s="181">
        <f t="shared" ref="Y26:Y32" si="17">IF(P26=0,0,P26*($F26/($E26*24))*$G26*$H26/2000)</f>
        <v>0</v>
      </c>
      <c r="Z26" s="182">
        <f t="shared" ref="Z26:Z32" si="18">IFERROR(IF(Q26=0,0,Q26*($F26/($E26*24))*$G26*$H26/2000),"--")</f>
        <v>0</v>
      </c>
      <c r="AA26" s="256"/>
      <c r="AB26" s="256"/>
      <c r="AC26" s="256"/>
      <c r="AD26" s="256"/>
      <c r="AE26" s="256"/>
      <c r="AF26" s="256"/>
      <c r="AG26" s="256"/>
      <c r="AH26" s="256"/>
      <c r="AI26" s="256"/>
      <c r="AJ26" s="256"/>
      <c r="AK26" s="256"/>
      <c r="AL26" s="256"/>
      <c r="AM26" s="256"/>
      <c r="AN26" s="256"/>
      <c r="AO26" s="256"/>
      <c r="AP26" s="256"/>
      <c r="AQ26" s="256"/>
      <c r="AR26" s="256"/>
    </row>
    <row r="27" spans="1:44" s="183" customFormat="1" x14ac:dyDescent="0.2">
      <c r="A27" s="174"/>
      <c r="B27" s="175" t="s">
        <v>115</v>
      </c>
      <c r="C27" s="175"/>
      <c r="D27" s="176">
        <v>0</v>
      </c>
      <c r="E27" s="177">
        <f>FACTORS!$I$2*D27</f>
        <v>0</v>
      </c>
      <c r="F27" s="178">
        <f t="shared" si="14"/>
        <v>0</v>
      </c>
      <c r="G27" s="176">
        <v>0</v>
      </c>
      <c r="H27" s="180">
        <v>0</v>
      </c>
      <c r="I27" s="184">
        <f>FACTORS!$C$17*D27/453.592</f>
        <v>0</v>
      </c>
      <c r="J27" s="181">
        <f>FACTORS!$D$17*D27/453.592</f>
        <v>0</v>
      </c>
      <c r="K27" s="246">
        <f>FACTORS!$E$17*D27/453.592</f>
        <v>0</v>
      </c>
      <c r="L27" s="181">
        <f>FACTORS!$F$17*D27/453.592</f>
        <v>0</v>
      </c>
      <c r="M27" s="181">
        <f>FACTORS!$G$17*D27/453.592</f>
        <v>0</v>
      </c>
      <c r="N27" s="178">
        <f>FACTORS!$H$17*D27/453.592</f>
        <v>0</v>
      </c>
      <c r="O27" s="181">
        <f>FACTORS!$I$17*D27/453.592</f>
        <v>0</v>
      </c>
      <c r="P27" s="181">
        <f>FACTORS!$J$17*D27/453.592</f>
        <v>0</v>
      </c>
      <c r="Q27" s="191">
        <f>FACTORS!$K$17*D27/453.592</f>
        <v>0</v>
      </c>
      <c r="R27" s="184">
        <f t="shared" si="15"/>
        <v>0</v>
      </c>
      <c r="S27" s="181">
        <f t="shared" si="15"/>
        <v>0</v>
      </c>
      <c r="T27" s="181">
        <f t="shared" si="15"/>
        <v>0</v>
      </c>
      <c r="U27" s="181">
        <f t="shared" si="15"/>
        <v>0</v>
      </c>
      <c r="V27" s="181">
        <f t="shared" si="15"/>
        <v>0</v>
      </c>
      <c r="W27" s="181">
        <f t="shared" si="15"/>
        <v>0</v>
      </c>
      <c r="X27" s="181">
        <f t="shared" si="16"/>
        <v>0</v>
      </c>
      <c r="Y27" s="181">
        <f t="shared" si="17"/>
        <v>0</v>
      </c>
      <c r="Z27" s="182">
        <f t="shared" si="18"/>
        <v>0</v>
      </c>
      <c r="AA27" s="256"/>
      <c r="AB27" s="256"/>
      <c r="AC27" s="256"/>
      <c r="AD27" s="256"/>
      <c r="AE27" s="256"/>
      <c r="AF27" s="256"/>
      <c r="AG27" s="256"/>
      <c r="AH27" s="256"/>
      <c r="AI27" s="256"/>
      <c r="AJ27" s="256"/>
      <c r="AK27" s="256"/>
      <c r="AL27" s="256"/>
      <c r="AM27" s="256"/>
      <c r="AN27" s="256"/>
      <c r="AO27" s="256"/>
      <c r="AP27" s="256"/>
      <c r="AQ27" s="256"/>
      <c r="AR27" s="256"/>
    </row>
    <row r="28" spans="1:44" s="183" customFormat="1" x14ac:dyDescent="0.2">
      <c r="A28" s="174"/>
      <c r="B28" s="175" t="s">
        <v>116</v>
      </c>
      <c r="C28" s="175"/>
      <c r="D28" s="176">
        <v>0</v>
      </c>
      <c r="E28" s="177">
        <f>FACTORS!$I$2*D28</f>
        <v>0</v>
      </c>
      <c r="F28" s="178">
        <f t="shared" si="14"/>
        <v>0</v>
      </c>
      <c r="G28" s="176">
        <v>0</v>
      </c>
      <c r="H28" s="180">
        <v>0</v>
      </c>
      <c r="I28" s="184">
        <f>FACTORS!$C$17*D28/453.592</f>
        <v>0</v>
      </c>
      <c r="J28" s="181">
        <f>FACTORS!$D$17*D28/453.592</f>
        <v>0</v>
      </c>
      <c r="K28" s="246">
        <f>FACTORS!$E$17*D28/453.592</f>
        <v>0</v>
      </c>
      <c r="L28" s="181">
        <f>FACTORS!$F$17*D28/453.592</f>
        <v>0</v>
      </c>
      <c r="M28" s="181">
        <f>FACTORS!$G$17*D28/453.592</f>
        <v>0</v>
      </c>
      <c r="N28" s="178">
        <f>FACTORS!$H$17*D28/453.592</f>
        <v>0</v>
      </c>
      <c r="O28" s="181">
        <f>FACTORS!$I$17*D28/453.592</f>
        <v>0</v>
      </c>
      <c r="P28" s="181">
        <f>FACTORS!$J$17*D28/453.592</f>
        <v>0</v>
      </c>
      <c r="Q28" s="191">
        <f>FACTORS!$K$17*D28/453.592</f>
        <v>0</v>
      </c>
      <c r="R28" s="184">
        <f t="shared" si="15"/>
        <v>0</v>
      </c>
      <c r="S28" s="181">
        <f t="shared" si="15"/>
        <v>0</v>
      </c>
      <c r="T28" s="181">
        <f t="shared" si="15"/>
        <v>0</v>
      </c>
      <c r="U28" s="181">
        <f t="shared" si="15"/>
        <v>0</v>
      </c>
      <c r="V28" s="181">
        <f t="shared" si="15"/>
        <v>0</v>
      </c>
      <c r="W28" s="181">
        <f t="shared" si="15"/>
        <v>0</v>
      </c>
      <c r="X28" s="181">
        <f t="shared" si="16"/>
        <v>0</v>
      </c>
      <c r="Y28" s="181">
        <f t="shared" si="17"/>
        <v>0</v>
      </c>
      <c r="Z28" s="182">
        <f t="shared" si="18"/>
        <v>0</v>
      </c>
      <c r="AA28" s="256"/>
      <c r="AB28" s="256"/>
      <c r="AC28" s="256"/>
      <c r="AD28" s="256"/>
      <c r="AE28" s="256"/>
      <c r="AF28" s="256"/>
      <c r="AG28" s="256"/>
      <c r="AH28" s="256"/>
      <c r="AI28" s="256"/>
      <c r="AJ28" s="256"/>
      <c r="AK28" s="256"/>
      <c r="AL28" s="256"/>
      <c r="AM28" s="256"/>
      <c r="AN28" s="256"/>
      <c r="AO28" s="256"/>
      <c r="AP28" s="256"/>
      <c r="AQ28" s="256"/>
      <c r="AR28" s="256"/>
    </row>
    <row r="29" spans="1:44" s="183" customFormat="1" ht="12.75" customHeight="1" x14ac:dyDescent="0.2">
      <c r="A29" s="174" t="s">
        <v>63</v>
      </c>
      <c r="B29" s="175" t="s">
        <v>118</v>
      </c>
      <c r="C29" s="175"/>
      <c r="D29" s="176">
        <v>0</v>
      </c>
      <c r="E29" s="177">
        <f>FACTORS!$I$2*D29</f>
        <v>0</v>
      </c>
      <c r="F29" s="178">
        <f t="shared" si="14"/>
        <v>0</v>
      </c>
      <c r="G29" s="179">
        <v>0</v>
      </c>
      <c r="H29" s="180">
        <v>0</v>
      </c>
      <c r="I29" s="184">
        <f>FACTORS!$C$17*D29/453.592</f>
        <v>0</v>
      </c>
      <c r="J29" s="181">
        <f>FACTORS!$D$17*D29/453.592</f>
        <v>0</v>
      </c>
      <c r="K29" s="246">
        <f>FACTORS!$E$17*D29/453.592</f>
        <v>0</v>
      </c>
      <c r="L29" s="181">
        <f>FACTORS!$F$17*D29/453.592</f>
        <v>0</v>
      </c>
      <c r="M29" s="181">
        <f>FACTORS!$G$17*D29/453.592</f>
        <v>0</v>
      </c>
      <c r="N29" s="178">
        <f>FACTORS!$H$17*D29/453.592</f>
        <v>0</v>
      </c>
      <c r="O29" s="181">
        <f>FACTORS!$I$17*D29/453.592</f>
        <v>0</v>
      </c>
      <c r="P29" s="181">
        <f>FACTORS!$J$17*D29/453.592</f>
        <v>0</v>
      </c>
      <c r="Q29" s="191">
        <f>FACTORS!$K$17*D29/453.592</f>
        <v>0</v>
      </c>
      <c r="R29" s="184">
        <f t="shared" si="15"/>
        <v>0</v>
      </c>
      <c r="S29" s="181">
        <f t="shared" si="15"/>
        <v>0</v>
      </c>
      <c r="T29" s="181">
        <f t="shared" si="15"/>
        <v>0</v>
      </c>
      <c r="U29" s="181">
        <f t="shared" si="15"/>
        <v>0</v>
      </c>
      <c r="V29" s="181">
        <f t="shared" si="15"/>
        <v>0</v>
      </c>
      <c r="W29" s="181">
        <f t="shared" si="15"/>
        <v>0</v>
      </c>
      <c r="X29" s="181">
        <f t="shared" si="16"/>
        <v>0</v>
      </c>
      <c r="Y29" s="181">
        <f t="shared" si="17"/>
        <v>0</v>
      </c>
      <c r="Z29" s="182">
        <f t="shared" si="18"/>
        <v>0</v>
      </c>
      <c r="AA29" s="256"/>
      <c r="AB29" s="256"/>
      <c r="AC29" s="256"/>
      <c r="AD29" s="256"/>
      <c r="AE29" s="256"/>
      <c r="AF29" s="256"/>
      <c r="AG29" s="256"/>
      <c r="AH29" s="256"/>
      <c r="AI29" s="256"/>
      <c r="AJ29" s="256"/>
      <c r="AK29" s="256"/>
      <c r="AL29" s="256"/>
      <c r="AM29" s="256"/>
      <c r="AN29" s="256"/>
      <c r="AO29" s="256"/>
      <c r="AP29" s="256"/>
      <c r="AQ29" s="256"/>
      <c r="AR29" s="256"/>
    </row>
    <row r="30" spans="1:44" s="183" customFormat="1" ht="12.75" customHeight="1" x14ac:dyDescent="0.2">
      <c r="A30" s="174" t="s">
        <v>62</v>
      </c>
      <c r="B30" s="175" t="s">
        <v>117</v>
      </c>
      <c r="C30" s="175"/>
      <c r="D30" s="176">
        <v>0</v>
      </c>
      <c r="E30" s="177">
        <f>FACTORS!$I$2*D30</f>
        <v>0</v>
      </c>
      <c r="F30" s="178">
        <f t="shared" si="14"/>
        <v>0</v>
      </c>
      <c r="G30" s="179">
        <v>0</v>
      </c>
      <c r="H30" s="180">
        <v>0</v>
      </c>
      <c r="I30" s="184">
        <f>FACTORS!$C$17*D30/453.592</f>
        <v>0</v>
      </c>
      <c r="J30" s="181">
        <f>FACTORS!$D$17*D30/453.592</f>
        <v>0</v>
      </c>
      <c r="K30" s="246">
        <f>FACTORS!$E$17*D30/453.592</f>
        <v>0</v>
      </c>
      <c r="L30" s="181">
        <f>FACTORS!$F$17*D30/453.592</f>
        <v>0</v>
      </c>
      <c r="M30" s="181">
        <f>FACTORS!$G$17*D30/453.592</f>
        <v>0</v>
      </c>
      <c r="N30" s="178">
        <f>FACTORS!$H$17*D30/453.592</f>
        <v>0</v>
      </c>
      <c r="O30" s="181">
        <f>FACTORS!$I$17*D30/453.592</f>
        <v>0</v>
      </c>
      <c r="P30" s="181">
        <f>FACTORS!$J$17*D30/453.592</f>
        <v>0</v>
      </c>
      <c r="Q30" s="191">
        <f>FACTORS!$K$17*D30/453.592</f>
        <v>0</v>
      </c>
      <c r="R30" s="184">
        <f t="shared" si="15"/>
        <v>0</v>
      </c>
      <c r="S30" s="181">
        <f t="shared" si="15"/>
        <v>0</v>
      </c>
      <c r="T30" s="181">
        <f t="shared" si="15"/>
        <v>0</v>
      </c>
      <c r="U30" s="181">
        <f t="shared" si="15"/>
        <v>0</v>
      </c>
      <c r="V30" s="181">
        <f t="shared" si="15"/>
        <v>0</v>
      </c>
      <c r="W30" s="181">
        <f t="shared" si="15"/>
        <v>0</v>
      </c>
      <c r="X30" s="181">
        <f t="shared" si="16"/>
        <v>0</v>
      </c>
      <c r="Y30" s="181">
        <f t="shared" si="17"/>
        <v>0</v>
      </c>
      <c r="Z30" s="182">
        <f t="shared" si="18"/>
        <v>0</v>
      </c>
      <c r="AA30" s="256"/>
      <c r="AB30" s="256"/>
      <c r="AC30" s="256"/>
      <c r="AD30" s="256"/>
      <c r="AE30" s="256"/>
      <c r="AF30" s="256"/>
      <c r="AG30" s="256"/>
      <c r="AH30" s="256"/>
      <c r="AI30" s="256"/>
      <c r="AJ30" s="256"/>
      <c r="AK30" s="256"/>
      <c r="AL30" s="256"/>
      <c r="AM30" s="256"/>
      <c r="AN30" s="256"/>
      <c r="AO30" s="256"/>
      <c r="AP30" s="256"/>
      <c r="AQ30" s="256"/>
      <c r="AR30" s="256"/>
    </row>
    <row r="31" spans="1:44" s="183" customFormat="1" x14ac:dyDescent="0.2">
      <c r="A31" s="174"/>
      <c r="B31" s="175" t="s">
        <v>115</v>
      </c>
      <c r="C31" s="175"/>
      <c r="D31" s="176">
        <v>0</v>
      </c>
      <c r="E31" s="177">
        <f>FACTORS!$I$2*D31</f>
        <v>0</v>
      </c>
      <c r="F31" s="178">
        <f t="shared" si="14"/>
        <v>0</v>
      </c>
      <c r="G31" s="176">
        <v>0</v>
      </c>
      <c r="H31" s="180">
        <v>0</v>
      </c>
      <c r="I31" s="184">
        <f>FACTORS!$C$17*D31/453.592</f>
        <v>0</v>
      </c>
      <c r="J31" s="181">
        <f>FACTORS!$D$17*D31/453.592</f>
        <v>0</v>
      </c>
      <c r="K31" s="246">
        <f>FACTORS!$E$17*D31/453.592</f>
        <v>0</v>
      </c>
      <c r="L31" s="181">
        <f>FACTORS!$F$17*D31/453.592</f>
        <v>0</v>
      </c>
      <c r="M31" s="181">
        <f>FACTORS!$G$17*D31/453.592</f>
        <v>0</v>
      </c>
      <c r="N31" s="178">
        <f>FACTORS!$H$17*D31/453.592</f>
        <v>0</v>
      </c>
      <c r="O31" s="181">
        <f>FACTORS!$I$17*D31/453.592</f>
        <v>0</v>
      </c>
      <c r="P31" s="181">
        <f>FACTORS!$J$17*D31/453.592</f>
        <v>0</v>
      </c>
      <c r="Q31" s="191">
        <f>FACTORS!$K$17*D31/453.592</f>
        <v>0</v>
      </c>
      <c r="R31" s="184">
        <f t="shared" si="15"/>
        <v>0</v>
      </c>
      <c r="S31" s="181">
        <f t="shared" si="15"/>
        <v>0</v>
      </c>
      <c r="T31" s="181">
        <f t="shared" si="15"/>
        <v>0</v>
      </c>
      <c r="U31" s="181">
        <f t="shared" si="15"/>
        <v>0</v>
      </c>
      <c r="V31" s="181">
        <f t="shared" si="15"/>
        <v>0</v>
      </c>
      <c r="W31" s="181">
        <f t="shared" si="15"/>
        <v>0</v>
      </c>
      <c r="X31" s="181">
        <f t="shared" si="16"/>
        <v>0</v>
      </c>
      <c r="Y31" s="181">
        <f t="shared" si="17"/>
        <v>0</v>
      </c>
      <c r="Z31" s="182">
        <f t="shared" si="18"/>
        <v>0</v>
      </c>
      <c r="AA31" s="256"/>
      <c r="AB31" s="256"/>
      <c r="AC31" s="256"/>
      <c r="AD31" s="256"/>
      <c r="AE31" s="256"/>
      <c r="AF31" s="256"/>
      <c r="AG31" s="256"/>
      <c r="AH31" s="256"/>
      <c r="AI31" s="256"/>
      <c r="AJ31" s="256"/>
      <c r="AK31" s="256"/>
      <c r="AL31" s="256"/>
      <c r="AM31" s="256"/>
      <c r="AN31" s="256"/>
      <c r="AO31" s="256"/>
      <c r="AP31" s="256"/>
      <c r="AQ31" s="256"/>
      <c r="AR31" s="256"/>
    </row>
    <row r="32" spans="1:44" s="183" customFormat="1" ht="12.75" customHeight="1" x14ac:dyDescent="0.2">
      <c r="A32" s="339" t="s">
        <v>64</v>
      </c>
      <c r="B32" s="340" t="s">
        <v>119</v>
      </c>
      <c r="C32" s="340"/>
      <c r="D32" s="341">
        <v>0</v>
      </c>
      <c r="E32" s="342">
        <f>FACTORS!$I$2*D32</f>
        <v>0</v>
      </c>
      <c r="F32" s="343">
        <f t="shared" si="14"/>
        <v>0</v>
      </c>
      <c r="G32" s="344">
        <v>0</v>
      </c>
      <c r="H32" s="345">
        <v>0</v>
      </c>
      <c r="I32" s="346">
        <f>FACTORS!$C$17*D32/453.592</f>
        <v>0</v>
      </c>
      <c r="J32" s="347">
        <f>FACTORS!$D$17*D32/453.592</f>
        <v>0</v>
      </c>
      <c r="K32" s="427">
        <f>FACTORS!$E$17*D32/453.592</f>
        <v>0</v>
      </c>
      <c r="L32" s="347">
        <f>FACTORS!$F$17*D32/453.592</f>
        <v>0</v>
      </c>
      <c r="M32" s="347">
        <f>FACTORS!$G$17*D32/453.592</f>
        <v>0</v>
      </c>
      <c r="N32" s="343">
        <f>FACTORS!$H$17*D32/453.592</f>
        <v>0</v>
      </c>
      <c r="O32" s="347">
        <f>FACTORS!$I$17*D32/453.592</f>
        <v>0</v>
      </c>
      <c r="P32" s="347">
        <f>FACTORS!$J$17*D32/453.592</f>
        <v>0</v>
      </c>
      <c r="Q32" s="348">
        <f>FACTORS!$K$17*D32/453.592</f>
        <v>0</v>
      </c>
      <c r="R32" s="346">
        <f t="shared" si="15"/>
        <v>0</v>
      </c>
      <c r="S32" s="347">
        <f t="shared" si="15"/>
        <v>0</v>
      </c>
      <c r="T32" s="347">
        <f>IF(K32=0,0,K32*($F32/($E32*24))*$G32*$H32/2000)</f>
        <v>0</v>
      </c>
      <c r="U32" s="347">
        <f t="shared" si="15"/>
        <v>0</v>
      </c>
      <c r="V32" s="347">
        <f t="shared" si="15"/>
        <v>0</v>
      </c>
      <c r="W32" s="347">
        <f t="shared" si="15"/>
        <v>0</v>
      </c>
      <c r="X32" s="347">
        <f t="shared" si="16"/>
        <v>0</v>
      </c>
      <c r="Y32" s="347">
        <f t="shared" si="17"/>
        <v>0</v>
      </c>
      <c r="Z32" s="349">
        <f t="shared" si="18"/>
        <v>0</v>
      </c>
      <c r="AA32" s="256"/>
      <c r="AB32" s="256"/>
      <c r="AC32" s="256"/>
      <c r="AD32" s="256"/>
      <c r="AE32" s="256"/>
      <c r="AF32" s="256"/>
      <c r="AG32" s="256"/>
      <c r="AH32" s="256"/>
      <c r="AI32" s="256"/>
      <c r="AJ32" s="256"/>
      <c r="AK32" s="256"/>
      <c r="AL32" s="256"/>
      <c r="AM32" s="256"/>
      <c r="AN32" s="256"/>
      <c r="AO32" s="256"/>
      <c r="AP32" s="256"/>
      <c r="AQ32" s="256"/>
      <c r="AR32" s="256"/>
    </row>
    <row r="33" spans="1:44" ht="27.75" customHeight="1" x14ac:dyDescent="0.2">
      <c r="A33" s="361" t="s">
        <v>184</v>
      </c>
      <c r="B33" s="363" t="s">
        <v>107</v>
      </c>
      <c r="C33" s="111"/>
      <c r="D33" s="122"/>
      <c r="E33" s="42" t="s">
        <v>53</v>
      </c>
      <c r="F33" s="43" t="s">
        <v>54</v>
      </c>
      <c r="G33" s="50"/>
      <c r="H33" s="119"/>
      <c r="I33" s="158"/>
      <c r="J33" s="387"/>
      <c r="K33" s="416"/>
      <c r="L33" s="153"/>
      <c r="M33" s="153"/>
      <c r="N33" s="73"/>
      <c r="O33" s="153"/>
      <c r="P33" s="153"/>
      <c r="Q33" s="120"/>
      <c r="R33" s="158"/>
      <c r="S33" s="387"/>
      <c r="T33" s="387"/>
      <c r="U33" s="153"/>
      <c r="V33" s="153"/>
      <c r="W33" s="153"/>
      <c r="X33" s="153"/>
      <c r="Y33" s="153"/>
      <c r="Z33" s="322"/>
    </row>
    <row r="34" spans="1:44" ht="12.75" customHeight="1" x14ac:dyDescent="0.2">
      <c r="A34" s="330"/>
      <c r="B34" s="364" t="s">
        <v>148</v>
      </c>
      <c r="C34" s="333"/>
      <c r="D34" s="334" t="s">
        <v>132</v>
      </c>
      <c r="E34" s="74"/>
      <c r="F34" s="74"/>
      <c r="G34" s="335"/>
      <c r="H34" s="336"/>
      <c r="I34" s="337"/>
      <c r="J34" s="423"/>
      <c r="K34" s="424"/>
      <c r="L34" s="68"/>
      <c r="M34" s="68"/>
      <c r="N34" s="329"/>
      <c r="O34" s="68"/>
      <c r="P34" s="68"/>
      <c r="Q34" s="338"/>
      <c r="R34" s="337"/>
      <c r="S34" s="423"/>
      <c r="T34" s="423"/>
      <c r="U34" s="68"/>
      <c r="V34" s="68"/>
      <c r="W34" s="68"/>
      <c r="X34" s="68"/>
      <c r="Y34" s="68"/>
      <c r="Z34" s="69"/>
    </row>
    <row r="35" spans="1:44" ht="12.75" customHeight="1" x14ac:dyDescent="0.2">
      <c r="A35" s="330"/>
      <c r="B35" s="363" t="s">
        <v>160</v>
      </c>
      <c r="C35" s="157"/>
      <c r="D35" s="122" t="s">
        <v>100</v>
      </c>
      <c r="E35" s="74"/>
      <c r="F35" s="74"/>
      <c r="G35" s="70" t="s">
        <v>60</v>
      </c>
      <c r="H35" s="119" t="s">
        <v>71</v>
      </c>
      <c r="I35" s="158"/>
      <c r="J35" s="387"/>
      <c r="K35" s="416"/>
      <c r="L35" s="153"/>
      <c r="M35" s="153"/>
      <c r="N35" s="73"/>
      <c r="O35" s="153"/>
      <c r="P35" s="153"/>
      <c r="Q35" s="120"/>
      <c r="R35" s="319"/>
      <c r="S35" s="423"/>
      <c r="T35" s="424"/>
      <c r="U35" s="68"/>
      <c r="V35" s="68"/>
      <c r="W35" s="68"/>
      <c r="X35" s="68"/>
      <c r="Y35" s="68"/>
      <c r="Z35" s="69"/>
    </row>
    <row r="36" spans="1:44" s="183" customFormat="1" ht="12.75" customHeight="1" x14ac:dyDescent="0.2">
      <c r="A36" s="174"/>
      <c r="B36" s="242" t="s">
        <v>153</v>
      </c>
      <c r="C36" s="323"/>
      <c r="D36" s="244"/>
      <c r="E36" s="176">
        <v>0</v>
      </c>
      <c r="F36" s="245">
        <f>E36*24</f>
        <v>0</v>
      </c>
      <c r="G36" s="176">
        <v>0</v>
      </c>
      <c r="H36" s="180">
        <v>0</v>
      </c>
      <c r="I36" s="184">
        <f>IFERROR(FACTORS!$C$34*E36,"--")</f>
        <v>0</v>
      </c>
      <c r="J36" s="181">
        <f>IFERROR(FACTORS!$D$34*E36,"--")</f>
        <v>0</v>
      </c>
      <c r="K36" s="246">
        <f>IFERROR(FACTORS!$E$34*E36,"--")</f>
        <v>0</v>
      </c>
      <c r="L36" s="178">
        <f>IFERROR(FACTORS!$F$34*E36,"--")</f>
        <v>0</v>
      </c>
      <c r="M36" s="178">
        <f>IFERROR(FACTORS!$G$34*E36,"--")</f>
        <v>0</v>
      </c>
      <c r="N36" s="178">
        <f>IFERROR(FACTORS!$H$34*E36,"--")</f>
        <v>0</v>
      </c>
      <c r="O36" s="181" t="str">
        <f>IFERROR(FACTORS!$I$34*E36,"--")</f>
        <v>--</v>
      </c>
      <c r="P36" s="181">
        <f>IFERROR(FACTORS!$J$34*E36,"--")</f>
        <v>0</v>
      </c>
      <c r="Q36" s="191">
        <f>IFERROR(FACTORS!$K$34*E36,"--")</f>
        <v>0</v>
      </c>
      <c r="R36" s="331">
        <f t="shared" ref="R36:S42" si="19">IFERROR((I36*$G36*$H36)/2000, "")</f>
        <v>0</v>
      </c>
      <c r="S36" s="332">
        <f>IFERROR((J36*$G36*$H36)/2000, "")</f>
        <v>0</v>
      </c>
      <c r="T36" s="317">
        <f t="shared" ref="T36:W43" si="20">IFERROR((K36*$G36*$H36)/2000, "")</f>
        <v>0</v>
      </c>
      <c r="U36" s="317">
        <f t="shared" si="20"/>
        <v>0</v>
      </c>
      <c r="V36" s="317">
        <f t="shared" si="20"/>
        <v>0</v>
      </c>
      <c r="W36" s="317">
        <f t="shared" si="20"/>
        <v>0</v>
      </c>
      <c r="X36" s="317" t="str">
        <f t="shared" ref="X36:X43" si="21">IFERROR((O36*$G36*$H36)/2000, "--")</f>
        <v>--</v>
      </c>
      <c r="Y36" s="317">
        <f t="shared" ref="Y36:Z43" si="22">IFERROR((P36*$G36*$H36)/2000, "")</f>
        <v>0</v>
      </c>
      <c r="Z36" s="318">
        <f t="shared" si="22"/>
        <v>0</v>
      </c>
      <c r="AA36" s="256"/>
      <c r="AB36" s="256"/>
      <c r="AC36" s="256"/>
      <c r="AD36" s="256"/>
      <c r="AE36" s="256"/>
      <c r="AF36" s="256"/>
      <c r="AG36" s="256"/>
      <c r="AH36" s="256"/>
      <c r="AI36" s="256"/>
      <c r="AJ36" s="256"/>
      <c r="AK36" s="256"/>
      <c r="AL36" s="256"/>
      <c r="AM36" s="256"/>
      <c r="AN36" s="256"/>
      <c r="AO36" s="256"/>
      <c r="AP36" s="256"/>
      <c r="AQ36" s="256"/>
      <c r="AR36" s="256"/>
    </row>
    <row r="37" spans="1:44" s="183" customFormat="1" ht="12.75" customHeight="1" x14ac:dyDescent="0.2">
      <c r="A37" s="174"/>
      <c r="B37" s="242" t="s">
        <v>87</v>
      </c>
      <c r="C37" s="243"/>
      <c r="D37" s="244"/>
      <c r="E37" s="176">
        <v>0</v>
      </c>
      <c r="F37" s="245">
        <f>E37*24</f>
        <v>0</v>
      </c>
      <c r="G37" s="176">
        <v>0</v>
      </c>
      <c r="H37" s="180">
        <v>0</v>
      </c>
      <c r="I37" s="184">
        <f>IFERROR(FACTORS!$C$35*E37,"--")</f>
        <v>0</v>
      </c>
      <c r="J37" s="181">
        <f>IFERROR(FACTORS!$D$35*E37,"--")</f>
        <v>0</v>
      </c>
      <c r="K37" s="246">
        <f>IFERROR(FACTORS!$E$35*E37,"--")</f>
        <v>0</v>
      </c>
      <c r="L37" s="178">
        <f>IFERROR(FACTORS!$F$35*E37,"--")</f>
        <v>0</v>
      </c>
      <c r="M37" s="178">
        <f>IFERROR(FACTORS!$G$35*E37,"--")</f>
        <v>0</v>
      </c>
      <c r="N37" s="178">
        <f>IFERROR(FACTORS!$H$35*E37,"--")</f>
        <v>0</v>
      </c>
      <c r="O37" s="181" t="str">
        <f>IFERROR(FACTORS!$I$35*E37,"--")</f>
        <v>--</v>
      </c>
      <c r="P37" s="181">
        <f>IFERROR(FACTORS!$J$35*E37,"--")</f>
        <v>0</v>
      </c>
      <c r="Q37" s="191">
        <f>IFERROR(FACTORS!$K$35*E37,"--")</f>
        <v>0</v>
      </c>
      <c r="R37" s="184">
        <f t="shared" si="19"/>
        <v>0</v>
      </c>
      <c r="S37" s="181">
        <f t="shared" si="19"/>
        <v>0</v>
      </c>
      <c r="T37" s="246">
        <f t="shared" si="20"/>
        <v>0</v>
      </c>
      <c r="U37" s="246">
        <f t="shared" si="20"/>
        <v>0</v>
      </c>
      <c r="V37" s="246">
        <f t="shared" si="20"/>
        <v>0</v>
      </c>
      <c r="W37" s="246">
        <f t="shared" si="20"/>
        <v>0</v>
      </c>
      <c r="X37" s="246" t="str">
        <f t="shared" si="21"/>
        <v>--</v>
      </c>
      <c r="Y37" s="246">
        <f t="shared" si="22"/>
        <v>0</v>
      </c>
      <c r="Z37" s="182">
        <f t="shared" si="22"/>
        <v>0</v>
      </c>
      <c r="AA37" s="256"/>
      <c r="AB37" s="256"/>
      <c r="AC37" s="256"/>
      <c r="AD37" s="256"/>
      <c r="AE37" s="256"/>
      <c r="AF37" s="256"/>
      <c r="AG37" s="256"/>
      <c r="AH37" s="256"/>
      <c r="AI37" s="256"/>
      <c r="AJ37" s="256"/>
      <c r="AK37" s="256"/>
      <c r="AL37" s="256"/>
      <c r="AM37" s="256"/>
      <c r="AN37" s="256"/>
      <c r="AO37" s="256"/>
      <c r="AP37" s="256"/>
      <c r="AQ37" s="256"/>
      <c r="AR37" s="256"/>
    </row>
    <row r="38" spans="1:44" s="183" customFormat="1" ht="12.75" customHeight="1" x14ac:dyDescent="0.2">
      <c r="A38" s="174"/>
      <c r="B38" s="242" t="s">
        <v>102</v>
      </c>
      <c r="C38" s="243"/>
      <c r="D38" s="244"/>
      <c r="E38" s="176">
        <v>0</v>
      </c>
      <c r="F38" s="245">
        <f t="shared" ref="F38:F41" si="23">E38*24</f>
        <v>0</v>
      </c>
      <c r="G38" s="176">
        <v>0</v>
      </c>
      <c r="H38" s="180">
        <v>0</v>
      </c>
      <c r="I38" s="184">
        <f>IFERROR(FACTORS!$C$36*E38,"--")</f>
        <v>0</v>
      </c>
      <c r="J38" s="181">
        <f>IFERROR(FACTORS!$D$36*E38,"--")</f>
        <v>0</v>
      </c>
      <c r="K38" s="246">
        <f>IFERROR(FACTORS!$E$36*E38,"--")</f>
        <v>0</v>
      </c>
      <c r="L38" s="178">
        <f>IFERROR(FACTORS!$F$36*E38,"--")</f>
        <v>0</v>
      </c>
      <c r="M38" s="178">
        <f>IFERROR(FACTORS!$G$36*E38,"--")</f>
        <v>0</v>
      </c>
      <c r="N38" s="178">
        <f>IFERROR(FACTORS!$H$36*E38,"--")</f>
        <v>0</v>
      </c>
      <c r="O38" s="181" t="str">
        <f>IFERROR(FACTORS!$I$36*E38,"--")</f>
        <v>--</v>
      </c>
      <c r="P38" s="181">
        <f>IFERROR(FACTORS!$J$36*E38,"--")</f>
        <v>0</v>
      </c>
      <c r="Q38" s="191">
        <f>IFERROR(FACTORS!$K$36*E38,"--")</f>
        <v>0</v>
      </c>
      <c r="R38" s="184">
        <f t="shared" si="19"/>
        <v>0</v>
      </c>
      <c r="S38" s="181">
        <f t="shared" si="19"/>
        <v>0</v>
      </c>
      <c r="T38" s="246">
        <f t="shared" si="20"/>
        <v>0</v>
      </c>
      <c r="U38" s="246">
        <f t="shared" si="20"/>
        <v>0</v>
      </c>
      <c r="V38" s="246">
        <f t="shared" si="20"/>
        <v>0</v>
      </c>
      <c r="W38" s="246">
        <f t="shared" si="20"/>
        <v>0</v>
      </c>
      <c r="X38" s="246" t="str">
        <f t="shared" si="21"/>
        <v>--</v>
      </c>
      <c r="Y38" s="246">
        <f t="shared" si="22"/>
        <v>0</v>
      </c>
      <c r="Z38" s="182">
        <f t="shared" si="22"/>
        <v>0</v>
      </c>
      <c r="AA38" s="256"/>
      <c r="AB38" s="256"/>
      <c r="AC38" s="256"/>
      <c r="AD38" s="256"/>
      <c r="AE38" s="256"/>
      <c r="AF38" s="256"/>
      <c r="AG38" s="256"/>
      <c r="AH38" s="256"/>
      <c r="AI38" s="256"/>
      <c r="AJ38" s="256"/>
      <c r="AK38" s="256"/>
      <c r="AL38" s="256"/>
      <c r="AM38" s="256"/>
      <c r="AN38" s="256"/>
      <c r="AO38" s="256"/>
      <c r="AP38" s="256"/>
      <c r="AQ38" s="256"/>
      <c r="AR38" s="256"/>
    </row>
    <row r="39" spans="1:44" s="183" customFormat="1" ht="12.75" customHeight="1" x14ac:dyDescent="0.2">
      <c r="A39" s="174"/>
      <c r="B39" s="242" t="s">
        <v>154</v>
      </c>
      <c r="C39" s="243"/>
      <c r="D39" s="244"/>
      <c r="E39" s="176">
        <v>0</v>
      </c>
      <c r="F39" s="245">
        <f t="shared" si="23"/>
        <v>0</v>
      </c>
      <c r="G39" s="176">
        <v>0</v>
      </c>
      <c r="H39" s="180">
        <v>0</v>
      </c>
      <c r="I39" s="184">
        <f>IFERROR(FACTORS!$C$37*E39,"--")</f>
        <v>0</v>
      </c>
      <c r="J39" s="181">
        <f>IFERROR(FACTORS!$D$37*E39,"--")</f>
        <v>0</v>
      </c>
      <c r="K39" s="246">
        <f>IFERROR(FACTORS!$E$37*E39,"--")</f>
        <v>0</v>
      </c>
      <c r="L39" s="178">
        <f>IFERROR(FACTORS!$F$37*E39,"--")</f>
        <v>0</v>
      </c>
      <c r="M39" s="178">
        <f>IFERROR(FACTORS!$G$37*E39,"--")</f>
        <v>0</v>
      </c>
      <c r="N39" s="178">
        <f>IFERROR(FACTORS!$H$37*E39,"--")</f>
        <v>0</v>
      </c>
      <c r="O39" s="181" t="str">
        <f>IFERROR(FACTORS!$I$37*E39,"--")</f>
        <v>--</v>
      </c>
      <c r="P39" s="181">
        <f>IFERROR(FACTORS!$J$37*E39,"--")</f>
        <v>0</v>
      </c>
      <c r="Q39" s="191">
        <f>IFERROR(FACTORS!$K$37*E39,"--")</f>
        <v>0</v>
      </c>
      <c r="R39" s="184">
        <f t="shared" si="19"/>
        <v>0</v>
      </c>
      <c r="S39" s="181">
        <f t="shared" si="19"/>
        <v>0</v>
      </c>
      <c r="T39" s="246">
        <f t="shared" si="20"/>
        <v>0</v>
      </c>
      <c r="U39" s="246">
        <f t="shared" si="20"/>
        <v>0</v>
      </c>
      <c r="V39" s="246">
        <f t="shared" si="20"/>
        <v>0</v>
      </c>
      <c r="W39" s="246">
        <f t="shared" si="20"/>
        <v>0</v>
      </c>
      <c r="X39" s="246" t="str">
        <f t="shared" si="21"/>
        <v>--</v>
      </c>
      <c r="Y39" s="246">
        <f t="shared" si="22"/>
        <v>0</v>
      </c>
      <c r="Z39" s="182">
        <f t="shared" si="22"/>
        <v>0</v>
      </c>
      <c r="AA39" s="256"/>
      <c r="AB39" s="256"/>
      <c r="AC39" s="256"/>
      <c r="AD39" s="256"/>
      <c r="AE39" s="256"/>
      <c r="AF39" s="256"/>
      <c r="AG39" s="256"/>
      <c r="AH39" s="256"/>
      <c r="AI39" s="256"/>
      <c r="AJ39" s="256"/>
      <c r="AK39" s="256"/>
      <c r="AL39" s="256"/>
      <c r="AM39" s="256"/>
      <c r="AN39" s="256"/>
      <c r="AO39" s="256"/>
      <c r="AP39" s="256"/>
      <c r="AQ39" s="256"/>
      <c r="AR39" s="256"/>
    </row>
    <row r="40" spans="1:44" s="183" customFormat="1" ht="12.75" customHeight="1" x14ac:dyDescent="0.2">
      <c r="A40" s="174"/>
      <c r="B40" s="242" t="s">
        <v>89</v>
      </c>
      <c r="C40" s="243"/>
      <c r="D40" s="244"/>
      <c r="E40" s="176">
        <v>0</v>
      </c>
      <c r="F40" s="245">
        <f t="shared" si="23"/>
        <v>0</v>
      </c>
      <c r="G40" s="176">
        <v>0</v>
      </c>
      <c r="H40" s="180">
        <v>0</v>
      </c>
      <c r="I40" s="184">
        <f>IFERROR(FACTORS!$C$38*E40,"--")</f>
        <v>0</v>
      </c>
      <c r="J40" s="181">
        <f>IFERROR(FACTORS!$D$38*E40,"--")</f>
        <v>0</v>
      </c>
      <c r="K40" s="246">
        <f>IFERROR(FACTORS!$E$38*E40,"--")</f>
        <v>0</v>
      </c>
      <c r="L40" s="178">
        <f>IFERROR(FACTORS!$F$38*E40,"--")</f>
        <v>0</v>
      </c>
      <c r="M40" s="178">
        <f>IFERROR(FACTORS!$G$38*E40,"--")</f>
        <v>0</v>
      </c>
      <c r="N40" s="178">
        <f>IFERROR(FACTORS!$H$38*E40,"--")</f>
        <v>0</v>
      </c>
      <c r="O40" s="181" t="str">
        <f>IFERROR(FACTORS!$I$38*E40,"--")</f>
        <v>--</v>
      </c>
      <c r="P40" s="181">
        <f>IFERROR(FACTORS!$J$38*E40,"--")</f>
        <v>0</v>
      </c>
      <c r="Q40" s="191">
        <f>IFERROR(FACTORS!$K$38*E40,"--")</f>
        <v>0</v>
      </c>
      <c r="R40" s="184">
        <f t="shared" si="19"/>
        <v>0</v>
      </c>
      <c r="S40" s="181">
        <f t="shared" si="19"/>
        <v>0</v>
      </c>
      <c r="T40" s="246">
        <f t="shared" si="20"/>
        <v>0</v>
      </c>
      <c r="U40" s="246">
        <f t="shared" si="20"/>
        <v>0</v>
      </c>
      <c r="V40" s="246">
        <f t="shared" si="20"/>
        <v>0</v>
      </c>
      <c r="W40" s="246">
        <f t="shared" si="20"/>
        <v>0</v>
      </c>
      <c r="X40" s="246" t="str">
        <f t="shared" si="21"/>
        <v>--</v>
      </c>
      <c r="Y40" s="246">
        <f t="shared" si="22"/>
        <v>0</v>
      </c>
      <c r="Z40" s="182">
        <f t="shared" si="22"/>
        <v>0</v>
      </c>
      <c r="AA40" s="256"/>
      <c r="AB40" s="256"/>
      <c r="AC40" s="256"/>
      <c r="AD40" s="256"/>
      <c r="AE40" s="256"/>
      <c r="AF40" s="256"/>
      <c r="AG40" s="256"/>
      <c r="AH40" s="256"/>
      <c r="AI40" s="256"/>
      <c r="AJ40" s="256"/>
      <c r="AK40" s="256"/>
      <c r="AL40" s="256"/>
      <c r="AM40" s="256"/>
      <c r="AN40" s="256"/>
      <c r="AO40" s="256"/>
      <c r="AP40" s="256"/>
      <c r="AQ40" s="256"/>
      <c r="AR40" s="256"/>
    </row>
    <row r="41" spans="1:44" s="183" customFormat="1" ht="12.75" customHeight="1" x14ac:dyDescent="0.2">
      <c r="A41" s="174"/>
      <c r="B41" s="242" t="s">
        <v>103</v>
      </c>
      <c r="C41" s="243"/>
      <c r="D41" s="244"/>
      <c r="E41" s="176">
        <v>0</v>
      </c>
      <c r="F41" s="245">
        <f t="shared" si="23"/>
        <v>0</v>
      </c>
      <c r="G41" s="176">
        <v>0</v>
      </c>
      <c r="H41" s="180">
        <v>0</v>
      </c>
      <c r="I41" s="184">
        <f>IFERROR(FACTORS!$C$39*E41,"--")</f>
        <v>0</v>
      </c>
      <c r="J41" s="181">
        <f>IFERROR(FACTORS!$D$39*E41,"--")</f>
        <v>0</v>
      </c>
      <c r="K41" s="246">
        <f>IFERROR(FACTORS!$E$39*E41,"--")</f>
        <v>0</v>
      </c>
      <c r="L41" s="178">
        <f>IFERROR(FACTORS!$F$39*E41,"--")</f>
        <v>0</v>
      </c>
      <c r="M41" s="178">
        <f>IFERROR(FACTORS!$G$39*E41,"--")</f>
        <v>0</v>
      </c>
      <c r="N41" s="178">
        <f>IFERROR(FACTORS!$H$39*E41,"--")</f>
        <v>0</v>
      </c>
      <c r="O41" s="181" t="str">
        <f>IFERROR(FACTORS!$I$39*E41,"--")</f>
        <v>--</v>
      </c>
      <c r="P41" s="181">
        <f>IFERROR(FACTORS!$J$39*E41,"--")</f>
        <v>0</v>
      </c>
      <c r="Q41" s="191">
        <f>IFERROR(FACTORS!$K$39*E41,"--")</f>
        <v>0</v>
      </c>
      <c r="R41" s="184">
        <f t="shared" si="19"/>
        <v>0</v>
      </c>
      <c r="S41" s="181">
        <f t="shared" si="19"/>
        <v>0</v>
      </c>
      <c r="T41" s="246">
        <f t="shared" si="20"/>
        <v>0</v>
      </c>
      <c r="U41" s="246">
        <f t="shared" si="20"/>
        <v>0</v>
      </c>
      <c r="V41" s="246">
        <f t="shared" si="20"/>
        <v>0</v>
      </c>
      <c r="W41" s="246">
        <f t="shared" si="20"/>
        <v>0</v>
      </c>
      <c r="X41" s="246" t="str">
        <f t="shared" si="21"/>
        <v>--</v>
      </c>
      <c r="Y41" s="246">
        <f t="shared" si="22"/>
        <v>0</v>
      </c>
      <c r="Z41" s="182">
        <f t="shared" si="22"/>
        <v>0</v>
      </c>
      <c r="AA41" s="256"/>
      <c r="AB41" s="256"/>
      <c r="AC41" s="256"/>
      <c r="AD41" s="256"/>
      <c r="AE41" s="256"/>
      <c r="AF41" s="256"/>
      <c r="AG41" s="256"/>
      <c r="AH41" s="256"/>
      <c r="AI41" s="256"/>
      <c r="AJ41" s="256"/>
      <c r="AK41" s="256"/>
      <c r="AL41" s="256"/>
      <c r="AM41" s="256"/>
      <c r="AN41" s="256"/>
      <c r="AO41" s="256"/>
      <c r="AP41" s="256"/>
      <c r="AQ41" s="256"/>
      <c r="AR41" s="256"/>
    </row>
    <row r="42" spans="1:44" s="183" customFormat="1" ht="12.75" customHeight="1" x14ac:dyDescent="0.2">
      <c r="A42" s="174"/>
      <c r="B42" s="242" t="s">
        <v>91</v>
      </c>
      <c r="C42" s="243"/>
      <c r="D42" s="176">
        <v>0</v>
      </c>
      <c r="E42" s="74"/>
      <c r="F42" s="74"/>
      <c r="G42" s="179">
        <v>0</v>
      </c>
      <c r="H42" s="180">
        <v>0</v>
      </c>
      <c r="I42" s="184">
        <f>(FACTORS!$C$40*D42*2000)/24</f>
        <v>0</v>
      </c>
      <c r="J42" s="181">
        <f>(FACTORS!$D$40*D42*2000)/24</f>
        <v>0</v>
      </c>
      <c r="K42" s="246">
        <f>(FACTORS!$E$40*D42*2000)/24</f>
        <v>0</v>
      </c>
      <c r="L42" s="178">
        <f>(FACTORS!$F$40*D42*2000)/24</f>
        <v>0</v>
      </c>
      <c r="M42" s="178">
        <f>(FACTORS!$G$40*D42*2000)/24</f>
        <v>0</v>
      </c>
      <c r="N42" s="178">
        <f>(FACTORS!$H$40*D42*2000)/24</f>
        <v>0</v>
      </c>
      <c r="O42" s="181" t="str">
        <f>IFERROR((FACTORS!$I$40*D42*2000)/24,"--")</f>
        <v>--</v>
      </c>
      <c r="P42" s="181">
        <f>IFERROR((FACTORS!$J$40*D42*2000)/24,"--")</f>
        <v>0</v>
      </c>
      <c r="Q42" s="191" t="str">
        <f>IFERROR((FACTORS!$K$40*D42*2000)/24,"--")</f>
        <v>--</v>
      </c>
      <c r="R42" s="184">
        <f t="shared" si="19"/>
        <v>0</v>
      </c>
      <c r="S42" s="181">
        <f t="shared" si="19"/>
        <v>0</v>
      </c>
      <c r="T42" s="246">
        <f t="shared" si="20"/>
        <v>0</v>
      </c>
      <c r="U42" s="246">
        <f t="shared" si="20"/>
        <v>0</v>
      </c>
      <c r="V42" s="246">
        <f t="shared" si="20"/>
        <v>0</v>
      </c>
      <c r="W42" s="246">
        <f t="shared" si="20"/>
        <v>0</v>
      </c>
      <c r="X42" s="246" t="str">
        <f t="shared" si="21"/>
        <v>--</v>
      </c>
      <c r="Y42" s="246">
        <f t="shared" si="22"/>
        <v>0</v>
      </c>
      <c r="Z42" s="182" t="str">
        <f t="shared" si="22"/>
        <v/>
      </c>
      <c r="AA42" s="256"/>
      <c r="AB42" s="256"/>
      <c r="AC42" s="256"/>
      <c r="AD42" s="256"/>
      <c r="AE42" s="256"/>
      <c r="AF42" s="256"/>
      <c r="AG42" s="256"/>
      <c r="AH42" s="256"/>
      <c r="AI42" s="256"/>
      <c r="AJ42" s="256"/>
      <c r="AK42" s="256"/>
      <c r="AL42" s="256"/>
      <c r="AM42" s="256"/>
      <c r="AN42" s="256"/>
      <c r="AO42" s="256"/>
      <c r="AP42" s="256"/>
      <c r="AQ42" s="256"/>
      <c r="AR42" s="256"/>
    </row>
    <row r="43" spans="1:44" s="183" customFormat="1" ht="12.75" customHeight="1" x14ac:dyDescent="0.2">
      <c r="A43" s="174"/>
      <c r="B43" s="274" t="s">
        <v>133</v>
      </c>
      <c r="C43" s="242"/>
      <c r="D43" s="185">
        <v>0</v>
      </c>
      <c r="E43" s="74"/>
      <c r="F43" s="74"/>
      <c r="G43" s="185">
        <v>0</v>
      </c>
      <c r="H43" s="186">
        <v>0</v>
      </c>
      <c r="I43" s="187">
        <f>FACTORS!$C$42*D43/453.592</f>
        <v>0</v>
      </c>
      <c r="J43" s="192">
        <f>FACTORS!$D$42*D43/453.592</f>
        <v>0</v>
      </c>
      <c r="K43" s="189">
        <f>FACTORS!$E$42*D43/453.592</f>
        <v>0</v>
      </c>
      <c r="L43" s="192">
        <f>FACTORS!$F$42*D43/453.592</f>
        <v>0</v>
      </c>
      <c r="M43" s="192">
        <f>FACTORS!$G$42*D43/453.592</f>
        <v>0</v>
      </c>
      <c r="N43" s="188">
        <f>FACTORS!$H$42*D43/453.592</f>
        <v>0</v>
      </c>
      <c r="O43" s="192">
        <f>IFERROR(FACTORS!$I$42*D43/453.592, "--")</f>
        <v>0</v>
      </c>
      <c r="P43" s="192">
        <f>FACTORS!$J$42*D43/453.592</f>
        <v>0</v>
      </c>
      <c r="Q43" s="193">
        <f>FACTORS!$K$42*D43/453.592</f>
        <v>0</v>
      </c>
      <c r="R43" s="187">
        <f>IFERROR((I43*$G43*$H43)/2000, "")</f>
        <v>0</v>
      </c>
      <c r="S43" s="192">
        <f>IFERROR((J43*$G43*$H43)/2000, "")</f>
        <v>0</v>
      </c>
      <c r="T43" s="189">
        <f>IFERROR((K43*$G43*$H43)/2000, "")</f>
        <v>0</v>
      </c>
      <c r="U43" s="189">
        <f t="shared" si="20"/>
        <v>0</v>
      </c>
      <c r="V43" s="189">
        <f t="shared" si="20"/>
        <v>0</v>
      </c>
      <c r="W43" s="189">
        <f t="shared" si="20"/>
        <v>0</v>
      </c>
      <c r="X43" s="189">
        <f t="shared" si="21"/>
        <v>0</v>
      </c>
      <c r="Y43" s="189">
        <f t="shared" si="22"/>
        <v>0</v>
      </c>
      <c r="Z43" s="190">
        <f t="shared" si="22"/>
        <v>0</v>
      </c>
      <c r="AA43" s="256"/>
      <c r="AB43" s="256"/>
      <c r="AC43" s="256"/>
      <c r="AD43" s="256"/>
      <c r="AE43" s="256"/>
      <c r="AF43" s="256"/>
      <c r="AG43" s="256"/>
      <c r="AH43" s="256"/>
      <c r="AI43" s="256"/>
      <c r="AJ43" s="256"/>
      <c r="AK43" s="256"/>
      <c r="AL43" s="256"/>
      <c r="AM43" s="256"/>
      <c r="AN43" s="256"/>
      <c r="AO43" s="256"/>
      <c r="AP43" s="256"/>
      <c r="AQ43" s="256"/>
      <c r="AR43" s="256"/>
    </row>
    <row r="44" spans="1:44" s="247" customFormat="1" ht="12.75" customHeight="1" x14ac:dyDescent="0.2">
      <c r="A44" s="286">
        <f>A23</f>
        <v>2027</v>
      </c>
      <c r="B44" s="287" t="s">
        <v>124</v>
      </c>
      <c r="C44" s="431"/>
      <c r="D44" s="281"/>
      <c r="E44" s="281"/>
      <c r="F44" s="282"/>
      <c r="G44" s="281"/>
      <c r="H44" s="283"/>
      <c r="I44" s="380">
        <f t="shared" ref="I44:Z44" si="24">SUM(I26:I43)</f>
        <v>0</v>
      </c>
      <c r="J44" s="428">
        <f t="shared" si="24"/>
        <v>0</v>
      </c>
      <c r="K44" s="429">
        <f t="shared" si="24"/>
        <v>0</v>
      </c>
      <c r="L44" s="284">
        <f t="shared" si="24"/>
        <v>0</v>
      </c>
      <c r="M44" s="284">
        <f t="shared" si="24"/>
        <v>0</v>
      </c>
      <c r="N44" s="284">
        <f t="shared" si="24"/>
        <v>0</v>
      </c>
      <c r="O44" s="284">
        <f t="shared" si="24"/>
        <v>0</v>
      </c>
      <c r="P44" s="284">
        <f t="shared" si="24"/>
        <v>0</v>
      </c>
      <c r="Q44" s="290">
        <f t="shared" si="24"/>
        <v>0</v>
      </c>
      <c r="R44" s="383">
        <f t="shared" si="24"/>
        <v>0</v>
      </c>
      <c r="S44" s="291">
        <f t="shared" si="24"/>
        <v>0</v>
      </c>
      <c r="T44" s="430">
        <f t="shared" si="24"/>
        <v>0</v>
      </c>
      <c r="U44" s="291">
        <f t="shared" si="24"/>
        <v>0</v>
      </c>
      <c r="V44" s="291">
        <f t="shared" si="24"/>
        <v>0</v>
      </c>
      <c r="W44" s="291">
        <f t="shared" si="24"/>
        <v>0</v>
      </c>
      <c r="X44" s="291">
        <f t="shared" si="24"/>
        <v>0</v>
      </c>
      <c r="Y44" s="291">
        <f t="shared" si="24"/>
        <v>0</v>
      </c>
      <c r="Z44" s="292">
        <f t="shared" si="24"/>
        <v>0</v>
      </c>
      <c r="AA44" s="256"/>
      <c r="AB44" s="256"/>
      <c r="AC44" s="256"/>
      <c r="AD44" s="256"/>
      <c r="AE44" s="256"/>
      <c r="AF44" s="256"/>
      <c r="AG44" s="256"/>
      <c r="AH44" s="256"/>
      <c r="AI44" s="256"/>
      <c r="AJ44" s="256"/>
      <c r="AK44" s="256"/>
      <c r="AL44" s="256"/>
      <c r="AM44" s="256"/>
      <c r="AN44" s="256"/>
      <c r="AO44" s="256"/>
      <c r="AP44" s="256"/>
      <c r="AQ44" s="256"/>
      <c r="AR44" s="256"/>
    </row>
    <row r="45" spans="1:44" ht="12.75" customHeight="1" x14ac:dyDescent="0.2">
      <c r="A45" s="77"/>
      <c r="B45" s="13"/>
      <c r="C45" s="13"/>
    </row>
    <row r="46" spans="1:44" ht="12.75" customHeight="1" x14ac:dyDescent="0.2">
      <c r="A46" s="77"/>
      <c r="B46" s="13"/>
      <c r="C46" s="13"/>
    </row>
    <row r="47" spans="1:44" ht="12.75" customHeight="1" x14ac:dyDescent="0.2">
      <c r="A47" s="77"/>
      <c r="B47" s="13"/>
      <c r="C47" s="13"/>
    </row>
    <row r="48" spans="1:44" ht="12.75" customHeight="1" x14ac:dyDescent="0.2">
      <c r="A48" s="2"/>
      <c r="B48" s="2"/>
      <c r="C48" s="2"/>
      <c r="D48" s="2"/>
      <c r="E48" s="2"/>
      <c r="F48" s="2"/>
      <c r="G48" s="2"/>
      <c r="H48" s="2"/>
      <c r="I48" s="2"/>
      <c r="J48" s="2"/>
      <c r="K48" s="2"/>
      <c r="L48" s="2"/>
      <c r="M48" s="2"/>
      <c r="N48" s="2"/>
      <c r="O48" s="2"/>
      <c r="P48" s="2"/>
      <c r="Q48" s="2"/>
      <c r="R48" s="2"/>
      <c r="S48" s="2"/>
      <c r="T48" s="2"/>
      <c r="U48" s="2"/>
      <c r="V48" s="2"/>
      <c r="W48" s="2"/>
      <c r="X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0"/>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16"/>
      <c r="Z52" s="20"/>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16"/>
      <c r="Z53" s="20"/>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16"/>
      <c r="Z54" s="19"/>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17"/>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13"/>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13"/>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13"/>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13"/>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13"/>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13"/>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13"/>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13"/>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13"/>
    </row>
    <row r="65" spans="1:25"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13"/>
    </row>
    <row r="66" spans="1:25"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13"/>
    </row>
    <row r="67" spans="1:25"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13"/>
    </row>
    <row r="68" spans="1:25"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13"/>
    </row>
    <row r="69" spans="1:25"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13"/>
    </row>
    <row r="70" spans="1:25"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13"/>
    </row>
    <row r="71" spans="1:25"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13"/>
    </row>
    <row r="72" spans="1:25"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18"/>
    </row>
    <row r="73" spans="1:25"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18"/>
    </row>
    <row r="74" spans="1:25"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18"/>
    </row>
    <row r="75" spans="1:25"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18"/>
    </row>
    <row r="76" spans="1:25"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13"/>
    </row>
    <row r="77" spans="1:25"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13"/>
    </row>
    <row r="78" spans="1:25"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13"/>
    </row>
    <row r="79" spans="1:25"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13"/>
    </row>
    <row r="80" spans="1:25"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13"/>
    </row>
    <row r="81" spans="1:25"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3"/>
    </row>
    <row r="82" spans="1:25"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row>
    <row r="83" spans="1:25"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row>
    <row r="84" spans="1:25"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row>
    <row r="85" spans="1:25"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row>
    <row r="86" spans="1:25"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row>
    <row r="87" spans="1:25"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row>
    <row r="88" spans="1:25"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row>
    <row r="89" spans="1:25"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row>
    <row r="90" spans="1:25"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row>
    <row r="91" spans="1:25"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row>
    <row r="92" spans="1:25"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row>
    <row r="93" spans="1:25"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row>
    <row r="94" spans="1:25"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row>
    <row r="95" spans="1:25"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row>
    <row r="96" spans="1:25"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18"/>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13"/>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13"/>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13"/>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13"/>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13"/>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13"/>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13"/>
    </row>
    <row r="128" spans="1:25" ht="12.75" customHeight="1" x14ac:dyDescent="0.2">
      <c r="Y128" s="13"/>
    </row>
    <row r="129" spans="25:26" ht="12.75" customHeight="1" x14ac:dyDescent="0.2">
      <c r="Y129" s="18"/>
      <c r="Z129" s="19"/>
    </row>
    <row r="130" spans="25:26" ht="12.75" customHeight="1" x14ac:dyDescent="0.2">
      <c r="Y130" s="21"/>
    </row>
    <row r="131" spans="25:26" ht="12.75" customHeight="1" x14ac:dyDescent="0.2">
      <c r="Y131" s="18"/>
    </row>
    <row r="132" spans="25:26" ht="12.75" customHeight="1" x14ac:dyDescent="0.2">
      <c r="Y132" s="13"/>
      <c r="Z132" s="19"/>
    </row>
    <row r="133" spans="25:26" ht="12.75" customHeight="1" x14ac:dyDescent="0.2">
      <c r="Y133" s="22"/>
    </row>
    <row r="141" spans="25:26" ht="12.75" customHeight="1" x14ac:dyDescent="0.2">
      <c r="Z141" s="20"/>
    </row>
    <row r="142" spans="25:26" ht="12.75" customHeight="1" x14ac:dyDescent="0.2">
      <c r="Y142" s="16"/>
      <c r="Z142" s="20"/>
    </row>
    <row r="143" spans="25:26" ht="12.75" customHeight="1" x14ac:dyDescent="0.2">
      <c r="Y143" s="16"/>
      <c r="Z143" s="20"/>
    </row>
    <row r="144" spans="25:26" ht="12.75" customHeight="1" x14ac:dyDescent="0.2">
      <c r="Y144" s="16"/>
      <c r="Z144" s="19"/>
    </row>
    <row r="145" spans="25:25" ht="12.75" customHeight="1" x14ac:dyDescent="0.2">
      <c r="Y145" s="17"/>
    </row>
    <row r="146" spans="25:25" ht="12.75" customHeight="1" x14ac:dyDescent="0.2">
      <c r="Y146" s="13"/>
    </row>
    <row r="147" spans="25:25" ht="12.75" customHeight="1" x14ac:dyDescent="0.2">
      <c r="Y147" s="13"/>
    </row>
    <row r="148" spans="25:25" ht="12.75" customHeight="1" x14ac:dyDescent="0.2">
      <c r="Y148" s="13"/>
    </row>
    <row r="149" spans="25:25" ht="12.75" customHeight="1" x14ac:dyDescent="0.2">
      <c r="Y149" s="13"/>
    </row>
    <row r="150" spans="25:25" ht="12.75" customHeight="1" x14ac:dyDescent="0.2">
      <c r="Y150" s="13"/>
    </row>
    <row r="151" spans="25:25" ht="12.75" customHeight="1" x14ac:dyDescent="0.2">
      <c r="Y151" s="13"/>
    </row>
    <row r="152" spans="25:25" ht="12.75" customHeight="1" x14ac:dyDescent="0.2">
      <c r="Y152" s="13"/>
    </row>
    <row r="153" spans="25:25" ht="12.75" customHeight="1" x14ac:dyDescent="0.2">
      <c r="Y153" s="13"/>
    </row>
    <row r="154" spans="25:25" ht="12.75" customHeight="1" x14ac:dyDescent="0.2">
      <c r="Y154" s="13"/>
    </row>
    <row r="155" spans="25:25" ht="12.75" customHeight="1" x14ac:dyDescent="0.2">
      <c r="Y155" s="13"/>
    </row>
    <row r="156" spans="25:25" ht="12.75" customHeight="1" x14ac:dyDescent="0.2">
      <c r="Y156" s="13"/>
    </row>
    <row r="157" spans="25:25" ht="12.75" customHeight="1" x14ac:dyDescent="0.2">
      <c r="Y157" s="13"/>
    </row>
    <row r="158" spans="25:25" ht="12.75" customHeight="1" x14ac:dyDescent="0.2">
      <c r="Y158" s="13"/>
    </row>
    <row r="159" spans="25:25" ht="12.75" customHeight="1" x14ac:dyDescent="0.2">
      <c r="Y159" s="13"/>
    </row>
    <row r="160" spans="25:25" ht="12.75" customHeight="1" x14ac:dyDescent="0.2">
      <c r="Y160" s="13"/>
    </row>
    <row r="161" spans="25:26" ht="12.75" customHeight="1" x14ac:dyDescent="0.2">
      <c r="Y161" s="13"/>
    </row>
    <row r="162" spans="25:26" ht="12.75" customHeight="1" x14ac:dyDescent="0.2">
      <c r="Y162" s="18"/>
    </row>
    <row r="163" spans="25:26" ht="12.75" customHeight="1" x14ac:dyDescent="0.2">
      <c r="Y163" s="18"/>
    </row>
    <row r="164" spans="25:26" ht="12.75" customHeight="1" x14ac:dyDescent="0.2">
      <c r="Y164" s="18"/>
    </row>
    <row r="165" spans="25:26" ht="12.75" customHeight="1" x14ac:dyDescent="0.2">
      <c r="Y165" s="18"/>
    </row>
    <row r="166" spans="25:26" ht="12.75" customHeight="1" x14ac:dyDescent="0.2">
      <c r="Y166" s="13"/>
    </row>
    <row r="167" spans="25:26" ht="12.75" customHeight="1" x14ac:dyDescent="0.2">
      <c r="Y167" s="13"/>
    </row>
    <row r="168" spans="25:26" ht="12.75" customHeight="1" x14ac:dyDescent="0.2">
      <c r="Y168" s="13"/>
    </row>
    <row r="169" spans="25:26" ht="12.75" customHeight="1" x14ac:dyDescent="0.2">
      <c r="Y169" s="13"/>
    </row>
    <row r="170" spans="25:26" ht="12.75" customHeight="1" x14ac:dyDescent="0.2">
      <c r="Y170" s="13"/>
    </row>
    <row r="171" spans="25:26" ht="12.75" customHeight="1" x14ac:dyDescent="0.2">
      <c r="Y171" s="13"/>
    </row>
    <row r="172" spans="25:26" ht="12.75" customHeight="1" x14ac:dyDescent="0.2">
      <c r="Y172" s="13"/>
    </row>
    <row r="173" spans="25:26" ht="12.75" customHeight="1" x14ac:dyDescent="0.2">
      <c r="Y173" s="13"/>
    </row>
    <row r="174" spans="25:26" ht="12.75" customHeight="1" x14ac:dyDescent="0.2">
      <c r="Y174" s="18"/>
      <c r="Z174" s="19"/>
    </row>
    <row r="175" spans="25:26" ht="12.75" customHeight="1" x14ac:dyDescent="0.2">
      <c r="Y175" s="21"/>
    </row>
    <row r="176" spans="25:26" ht="12.75" customHeight="1" x14ac:dyDescent="0.2">
      <c r="Y176" s="18"/>
    </row>
    <row r="177" spans="25:26" ht="12.75" customHeight="1" x14ac:dyDescent="0.2">
      <c r="Y177" s="13"/>
      <c r="Z177" s="19"/>
    </row>
    <row r="178" spans="25:26" ht="12.75" customHeight="1" x14ac:dyDescent="0.2">
      <c r="Y178"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- 8TH YEAR</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0F66B-97A8-47F8-9C7A-9F93709A6060}">
  <sheetPr codeName="Sheet12">
    <pageSetUpPr fitToPage="1"/>
  </sheetPr>
  <dimension ref="A1:AR178"/>
  <sheetViews>
    <sheetView view="pageLayout" topLeftCell="A2" zoomScale="70" zoomScaleNormal="100" zoomScalePageLayoutView="70" workbookViewId="0">
      <selection activeCell="D15" sqref="D15"/>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56"/>
    <col min="45" max="16384" width="9.7109375" style="2"/>
  </cols>
  <sheetData>
    <row r="1" spans="1:44" ht="12.75" customHeight="1" thickBot="1" x14ac:dyDescent="0.25">
      <c r="A1" s="23" t="s">
        <v>1</v>
      </c>
      <c r="B1" s="23" t="s">
        <v>2</v>
      </c>
      <c r="C1" s="23"/>
      <c r="D1" s="23" t="s">
        <v>3</v>
      </c>
      <c r="E1" s="23" t="s">
        <v>5</v>
      </c>
      <c r="F1" s="24" t="s">
        <v>63</v>
      </c>
      <c r="G1" s="23" t="s">
        <v>7</v>
      </c>
      <c r="H1" s="25"/>
      <c r="I1" s="26"/>
      <c r="J1" s="26"/>
      <c r="K1" s="26"/>
      <c r="L1" s="27" t="s">
        <v>81</v>
      </c>
      <c r="M1" s="28" t="s">
        <v>0</v>
      </c>
      <c r="N1" s="26" t="s">
        <v>42</v>
      </c>
      <c r="O1" s="29"/>
      <c r="P1" s="29" t="s">
        <v>11</v>
      </c>
      <c r="Q1" s="29"/>
      <c r="R1" s="30"/>
      <c r="S1" s="30"/>
      <c r="T1" s="30"/>
      <c r="U1" s="30"/>
      <c r="V1" s="30"/>
      <c r="W1" s="30"/>
      <c r="X1" s="30"/>
      <c r="Y1" s="30"/>
      <c r="Z1" s="101"/>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373"/>
      <c r="K2" s="373"/>
      <c r="L2" s="473" t="str">
        <f>TITLE!$C$7</f>
        <v xml:space="preserve">  </v>
      </c>
      <c r="M2" s="476"/>
      <c r="N2" s="473" t="str">
        <f>TITLE!$C$8</f>
        <v xml:space="preserve"> </v>
      </c>
      <c r="O2" s="476"/>
      <c r="P2" s="473" t="str">
        <f>TITLE!C9</f>
        <v xml:space="preserve"> </v>
      </c>
      <c r="Q2" s="474"/>
      <c r="R2" s="474"/>
      <c r="S2" s="474"/>
      <c r="T2" s="474"/>
      <c r="U2" s="474"/>
      <c r="V2" s="474"/>
      <c r="W2" s="474"/>
      <c r="X2" s="474"/>
      <c r="Y2" s="474"/>
      <c r="Z2" s="475"/>
    </row>
    <row r="3" spans="1:44" ht="12.75" customHeight="1" thickTop="1" x14ac:dyDescent="0.2">
      <c r="A3" s="33" t="s">
        <v>43</v>
      </c>
      <c r="B3" s="34" t="s">
        <v>44</v>
      </c>
      <c r="C3" s="34" t="s">
        <v>101</v>
      </c>
      <c r="D3" s="34" t="s">
        <v>45</v>
      </c>
      <c r="E3" s="34" t="s">
        <v>46</v>
      </c>
      <c r="F3" s="35" t="s">
        <v>47</v>
      </c>
      <c r="G3" s="36" t="s">
        <v>48</v>
      </c>
      <c r="H3" s="37"/>
      <c r="I3" s="38"/>
      <c r="J3" s="38"/>
      <c r="K3" s="38"/>
      <c r="L3" s="38"/>
      <c r="M3" s="38" t="s">
        <v>49</v>
      </c>
      <c r="N3" s="38"/>
      <c r="O3" s="38"/>
      <c r="P3" s="38"/>
      <c r="Q3" s="39"/>
      <c r="R3" s="40"/>
      <c r="S3" s="40"/>
      <c r="T3" s="40"/>
      <c r="U3" s="40"/>
      <c r="V3" s="38" t="s">
        <v>50</v>
      </c>
      <c r="W3" s="40"/>
      <c r="X3" s="40"/>
      <c r="Y3" s="40"/>
      <c r="Z3" s="100"/>
    </row>
    <row r="4" spans="1:44" ht="12.75" customHeight="1" x14ac:dyDescent="0.2">
      <c r="A4" s="41"/>
      <c r="B4" s="42" t="s">
        <v>51</v>
      </c>
      <c r="C4" s="42"/>
      <c r="D4" s="42" t="s">
        <v>52</v>
      </c>
      <c r="E4" s="42" t="s">
        <v>53</v>
      </c>
      <c r="F4" s="43" t="s">
        <v>54</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77" t="s">
        <v>55</v>
      </c>
      <c r="C5" s="277"/>
      <c r="D5" s="50" t="s">
        <v>52</v>
      </c>
      <c r="E5" s="50" t="s">
        <v>56</v>
      </c>
      <c r="F5" s="51" t="s">
        <v>57</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78" t="s">
        <v>58</v>
      </c>
      <c r="C6" s="278"/>
      <c r="D6" s="168" t="s">
        <v>59</v>
      </c>
      <c r="E6" s="42" t="s">
        <v>56</v>
      </c>
      <c r="F6" s="43" t="s">
        <v>57</v>
      </c>
      <c r="G6" s="169" t="s">
        <v>60</v>
      </c>
      <c r="H6" s="170" t="s">
        <v>71</v>
      </c>
      <c r="I6" s="396" t="s">
        <v>199</v>
      </c>
      <c r="J6" s="397" t="s">
        <v>197</v>
      </c>
      <c r="K6" s="398" t="s">
        <v>198</v>
      </c>
      <c r="L6" s="399" t="s">
        <v>23</v>
      </c>
      <c r="M6" s="399" t="s">
        <v>24</v>
      </c>
      <c r="N6" s="399" t="s">
        <v>25</v>
      </c>
      <c r="O6" s="397" t="s">
        <v>72</v>
      </c>
      <c r="P6" s="397" t="s">
        <v>26</v>
      </c>
      <c r="Q6" s="400" t="s">
        <v>80</v>
      </c>
      <c r="R6" s="401" t="s">
        <v>199</v>
      </c>
      <c r="S6" s="402" t="s">
        <v>197</v>
      </c>
      <c r="T6" s="403" t="s">
        <v>198</v>
      </c>
      <c r="U6" s="403" t="s">
        <v>23</v>
      </c>
      <c r="V6" s="171" t="s">
        <v>24</v>
      </c>
      <c r="W6" s="171" t="s">
        <v>25</v>
      </c>
      <c r="X6" s="46" t="s">
        <v>72</v>
      </c>
      <c r="Y6" s="46" t="s">
        <v>26</v>
      </c>
      <c r="Z6" s="172" t="s">
        <v>80</v>
      </c>
    </row>
    <row r="7" spans="1:44" s="173" customFormat="1" ht="12.75" customHeight="1" thickTop="1" x14ac:dyDescent="0.2">
      <c r="A7" s="194" t="s">
        <v>61</v>
      </c>
      <c r="B7" s="279" t="s">
        <v>165</v>
      </c>
      <c r="C7" s="293"/>
      <c r="D7" s="195">
        <v>0</v>
      </c>
      <c r="E7" s="196">
        <f>FACTORS!$I$2*D7</f>
        <v>0</v>
      </c>
      <c r="F7" s="197">
        <f>E7*24</f>
        <v>0</v>
      </c>
      <c r="G7" s="198">
        <v>0</v>
      </c>
      <c r="H7" s="199">
        <v>0</v>
      </c>
      <c r="I7" s="377">
        <f>FACTORS!$C$17*D7/453.592</f>
        <v>0</v>
      </c>
      <c r="J7" s="404">
        <f>FACTORS!$D$17*D7/453.592</f>
        <v>0</v>
      </c>
      <c r="K7" s="405">
        <f>FACTORS!$E$17*D7/453.592</f>
        <v>0</v>
      </c>
      <c r="L7" s="202">
        <f>FACTORS!$F$17*D7/453.592</f>
        <v>0</v>
      </c>
      <c r="M7" s="202">
        <f>FACTORS!$G$17*D7/453.592</f>
        <v>0</v>
      </c>
      <c r="N7" s="201">
        <f>FACTORS!$H$17*D7/453.592</f>
        <v>0</v>
      </c>
      <c r="O7" s="203">
        <f>FACTORS!$I$17*D7/453.592</f>
        <v>0</v>
      </c>
      <c r="P7" s="203">
        <f>FACTORS!$J$17*D7/453.592</f>
        <v>0</v>
      </c>
      <c r="Q7" s="204">
        <f>IFERROR(FACTORS!$K$17*D7/453.592,"--")</f>
        <v>0</v>
      </c>
      <c r="R7" s="381">
        <f>IF(I7=0,0,I7*($F7/($E7*24))*$G7*$H7/2000)</f>
        <v>0</v>
      </c>
      <c r="S7" s="203">
        <f t="shared" ref="S7:T10" si="0">IF(J7=0,0,J7*($F7/($E7*24))*$G7*$H7/2000)</f>
        <v>0</v>
      </c>
      <c r="T7" s="203">
        <f>IF(K7=0,0,K7*($F7/($E7*24))*$G7*$H7/2000)</f>
        <v>0</v>
      </c>
      <c r="U7" s="203">
        <f t="shared" ref="U7:W10" si="1">IF(L7=0,0,L7*($F7/($E7*24))*$G7*$H7/2000)</f>
        <v>0</v>
      </c>
      <c r="V7" s="203">
        <f t="shared" si="1"/>
        <v>0</v>
      </c>
      <c r="W7" s="203">
        <f t="shared" si="1"/>
        <v>0</v>
      </c>
      <c r="X7" s="203">
        <f>IFERROR(IF(O7=0,0,O7*($F7/($E7*24))*$G7*$H7/2000),"--")</f>
        <v>0</v>
      </c>
      <c r="Y7" s="203">
        <f>IF(P7=0,0,P7*($F7/($E7*24))*$G7*$H7/2000)</f>
        <v>0</v>
      </c>
      <c r="Z7" s="205">
        <f>IFERROR(IF(Q7=0,0,Q7*($F7/($E7*24))*$G7*$H7/2000),"--")</f>
        <v>0</v>
      </c>
      <c r="AA7" s="262"/>
      <c r="AB7" s="262"/>
      <c r="AC7" s="262"/>
      <c r="AD7" s="262"/>
      <c r="AE7" s="262"/>
      <c r="AF7" s="262"/>
      <c r="AG7" s="262"/>
      <c r="AH7" s="262"/>
      <c r="AI7" s="262"/>
      <c r="AJ7" s="262"/>
      <c r="AK7" s="262"/>
      <c r="AL7" s="262"/>
      <c r="AM7" s="262"/>
      <c r="AN7" s="262"/>
      <c r="AO7" s="262"/>
      <c r="AP7" s="262"/>
      <c r="AQ7" s="262"/>
      <c r="AR7" s="262"/>
    </row>
    <row r="8" spans="1:44" s="183" customFormat="1" ht="12.75" customHeight="1" x14ac:dyDescent="0.2">
      <c r="A8" s="206"/>
      <c r="B8" s="238" t="s">
        <v>165</v>
      </c>
      <c r="C8" s="294"/>
      <c r="D8" s="208">
        <v>0</v>
      </c>
      <c r="E8" s="209">
        <f>FACTORS!$I$2*D8</f>
        <v>0</v>
      </c>
      <c r="F8" s="201">
        <f>E8*24</f>
        <v>0</v>
      </c>
      <c r="G8" s="210">
        <v>0</v>
      </c>
      <c r="H8" s="211">
        <v>0</v>
      </c>
      <c r="I8" s="222">
        <f>FACTORS!$C$17*D8/453.592</f>
        <v>0</v>
      </c>
      <c r="J8" s="404">
        <f>FACTORS!$D$17*D8/453.592</f>
        <v>0</v>
      </c>
      <c r="K8" s="405">
        <f>FACTORS!$E$17*D8/453.592</f>
        <v>0</v>
      </c>
      <c r="L8" s="202">
        <f>FACTORS!$F$17*D8/453.592</f>
        <v>0</v>
      </c>
      <c r="M8" s="202">
        <f>FACTORS!$G$17*D8/453.592</f>
        <v>0</v>
      </c>
      <c r="N8" s="201">
        <f>FACTORS!$H$17*D8/453.592</f>
        <v>0</v>
      </c>
      <c r="O8" s="202">
        <f>FACTORS!$I$17*D8/453.592</f>
        <v>0</v>
      </c>
      <c r="P8" s="202">
        <f>FACTORS!$J$17*D8/453.592</f>
        <v>0</v>
      </c>
      <c r="Q8" s="204">
        <f>IFERROR(FACTORS!$K$17*D8/453.592,"--")</f>
        <v>0</v>
      </c>
      <c r="R8" s="200">
        <f>IF(I8=0,0,I8*($F8/($E8*24))*$G8*$H8/2000)</f>
        <v>0</v>
      </c>
      <c r="S8" s="202">
        <f t="shared" si="0"/>
        <v>0</v>
      </c>
      <c r="T8" s="202">
        <f t="shared" si="0"/>
        <v>0</v>
      </c>
      <c r="U8" s="202">
        <f t="shared" si="1"/>
        <v>0</v>
      </c>
      <c r="V8" s="202">
        <f t="shared" si="1"/>
        <v>0</v>
      </c>
      <c r="W8" s="202">
        <f t="shared" si="1"/>
        <v>0</v>
      </c>
      <c r="X8" s="202">
        <f>IFERROR(IF(O8=0,0,O8*($F8/($E8*24))*$G8*$H8/2000),"--")</f>
        <v>0</v>
      </c>
      <c r="Y8" s="202">
        <f>IF(P8=0,0,P8*($F8/($E8*24))*$G8*$H8/2000)</f>
        <v>0</v>
      </c>
      <c r="Z8" s="213">
        <f>IFERROR(IF(Q8=0,0,Q8*($F8/($E8*24))*$G8*$H8/2000),"--")</f>
        <v>0</v>
      </c>
      <c r="AA8" s="256"/>
      <c r="AB8" s="256"/>
      <c r="AC8" s="256"/>
      <c r="AD8" s="256"/>
      <c r="AE8" s="256"/>
      <c r="AF8" s="256"/>
      <c r="AG8" s="256"/>
      <c r="AH8" s="256"/>
      <c r="AI8" s="256"/>
      <c r="AJ8" s="256"/>
      <c r="AK8" s="256"/>
      <c r="AL8" s="256"/>
      <c r="AM8" s="256"/>
      <c r="AN8" s="256"/>
      <c r="AO8" s="256"/>
      <c r="AP8" s="256"/>
      <c r="AQ8" s="256"/>
      <c r="AR8" s="256"/>
    </row>
    <row r="9" spans="1:44" s="183" customFormat="1" ht="12.75" customHeight="1" x14ac:dyDescent="0.2">
      <c r="A9" s="206"/>
      <c r="B9" s="238" t="s">
        <v>165</v>
      </c>
      <c r="C9" s="294"/>
      <c r="D9" s="208">
        <v>0</v>
      </c>
      <c r="E9" s="209">
        <f>FACTORS!$I$2*D9</f>
        <v>0</v>
      </c>
      <c r="F9" s="201">
        <f>E9*24</f>
        <v>0</v>
      </c>
      <c r="G9" s="210">
        <v>0</v>
      </c>
      <c r="H9" s="211">
        <v>0</v>
      </c>
      <c r="I9" s="222">
        <f>FACTORS!$C$17*D9/453.592</f>
        <v>0</v>
      </c>
      <c r="J9" s="404">
        <f>FACTORS!$D$17*D9/453.592</f>
        <v>0</v>
      </c>
      <c r="K9" s="405">
        <f>FACTORS!$E$17*D9/453.592</f>
        <v>0</v>
      </c>
      <c r="L9" s="202">
        <f>FACTORS!$F$17*D9/453.592</f>
        <v>0</v>
      </c>
      <c r="M9" s="202">
        <f>FACTORS!$G$17*D9/453.592</f>
        <v>0</v>
      </c>
      <c r="N9" s="201">
        <f>FACTORS!$H$17*D9/453.592</f>
        <v>0</v>
      </c>
      <c r="O9" s="202">
        <f>FACTORS!$I$17*D9/453.592</f>
        <v>0</v>
      </c>
      <c r="P9" s="202">
        <f>FACTORS!$J$17*D9/453.592</f>
        <v>0</v>
      </c>
      <c r="Q9" s="204">
        <f>IFERROR(FACTORS!$K$17*D9/453.592,"--")</f>
        <v>0</v>
      </c>
      <c r="R9" s="200">
        <f>IF(I9=0,0,I9*($F9/($E9*24))*$G9*$H9/2000)</f>
        <v>0</v>
      </c>
      <c r="S9" s="202">
        <f t="shared" si="0"/>
        <v>0</v>
      </c>
      <c r="T9" s="202">
        <f t="shared" si="0"/>
        <v>0</v>
      </c>
      <c r="U9" s="202">
        <f t="shared" si="1"/>
        <v>0</v>
      </c>
      <c r="V9" s="202">
        <f t="shared" si="1"/>
        <v>0</v>
      </c>
      <c r="W9" s="202">
        <f t="shared" si="1"/>
        <v>0</v>
      </c>
      <c r="X9" s="202">
        <f>IFERROR(IF(O9=0,0,O9*($F9/($E9*24))*$G9*$H9/2000),"--")</f>
        <v>0</v>
      </c>
      <c r="Y9" s="202">
        <f>IF(P9=0,0,P9*($F9/($E9*24))*$G9*$H9/2000)</f>
        <v>0</v>
      </c>
      <c r="Z9" s="213">
        <f>IFERROR(IF(Q9=0,0,Q9*($F9/($E9*24))*$G9*$H9/2000),"--")</f>
        <v>0</v>
      </c>
      <c r="AA9" s="256"/>
      <c r="AB9" s="256"/>
      <c r="AC9" s="256"/>
      <c r="AD9" s="256"/>
      <c r="AE9" s="256"/>
      <c r="AF9" s="256"/>
      <c r="AG9" s="256"/>
      <c r="AH9" s="256"/>
      <c r="AI9" s="256"/>
      <c r="AJ9" s="256"/>
      <c r="AK9" s="256"/>
      <c r="AL9" s="256"/>
      <c r="AM9" s="256"/>
      <c r="AN9" s="256"/>
      <c r="AO9" s="256"/>
      <c r="AP9" s="256"/>
      <c r="AQ9" s="256"/>
      <c r="AR9" s="256"/>
    </row>
    <row r="10" spans="1:44" s="183" customFormat="1" ht="12.75" customHeight="1" x14ac:dyDescent="0.2">
      <c r="A10" s="206"/>
      <c r="B10" s="238" t="s">
        <v>165</v>
      </c>
      <c r="C10" s="294"/>
      <c r="D10" s="208">
        <v>0</v>
      </c>
      <c r="E10" s="209">
        <f>FACTORS!$I$2*D10</f>
        <v>0</v>
      </c>
      <c r="F10" s="201">
        <f>E10*24</f>
        <v>0</v>
      </c>
      <c r="G10" s="210">
        <v>0</v>
      </c>
      <c r="H10" s="211">
        <v>0</v>
      </c>
      <c r="I10" s="222">
        <f>FACTORS!$C$17*D10/453.592</f>
        <v>0</v>
      </c>
      <c r="J10" s="404">
        <f>FACTORS!$D$17*D10/453.592</f>
        <v>0</v>
      </c>
      <c r="K10" s="405">
        <f>FACTORS!$E$17*D10/453.592</f>
        <v>0</v>
      </c>
      <c r="L10" s="202">
        <f>FACTORS!$F$17*D10/453.592</f>
        <v>0</v>
      </c>
      <c r="M10" s="202">
        <f>FACTORS!$G$17*D10/453.592</f>
        <v>0</v>
      </c>
      <c r="N10" s="201">
        <f>FACTORS!$H$17*D10/453.592</f>
        <v>0</v>
      </c>
      <c r="O10" s="202">
        <f>FACTORS!$I$17*D10/453.592</f>
        <v>0</v>
      </c>
      <c r="P10" s="202">
        <f>FACTORS!$J$17*D10/453.592</f>
        <v>0</v>
      </c>
      <c r="Q10" s="204">
        <f>IFERROR(FACTORS!$K$17*D10/453.592,"--")</f>
        <v>0</v>
      </c>
      <c r="R10" s="200">
        <f>IF(I10=0,0,I10*($F10/($E10*24))*$G10*$H10/2000)</f>
        <v>0</v>
      </c>
      <c r="S10" s="202">
        <f>IF(J10=0,0,J10*($F10/($E10*24))*$G10*$H10/2000)</f>
        <v>0</v>
      </c>
      <c r="T10" s="202">
        <f t="shared" si="0"/>
        <v>0</v>
      </c>
      <c r="U10" s="202">
        <f t="shared" si="1"/>
        <v>0</v>
      </c>
      <c r="V10" s="202">
        <f t="shared" si="1"/>
        <v>0</v>
      </c>
      <c r="W10" s="202">
        <f t="shared" si="1"/>
        <v>0</v>
      </c>
      <c r="X10" s="202">
        <f>IFERROR(IF(O10=0,0,O10*($F10/($E10*24))*$G10*$H10/2000),"--")</f>
        <v>0</v>
      </c>
      <c r="Y10" s="202">
        <f>IF(P10=0,0,P10*($F10/($E10*24))*$G10*$H10/2000)</f>
        <v>0</v>
      </c>
      <c r="Z10" s="213">
        <f>IFERROR(IF(Q10=0,0,Q10*($F10/($E10*24))*$G10*$H10/2000),"--")</f>
        <v>0</v>
      </c>
      <c r="AA10" s="256"/>
      <c r="AB10" s="256"/>
      <c r="AC10" s="256"/>
      <c r="AD10" s="256"/>
      <c r="AE10" s="256"/>
      <c r="AF10" s="256"/>
      <c r="AG10" s="256"/>
      <c r="AH10" s="256"/>
      <c r="AI10" s="256"/>
      <c r="AJ10" s="256"/>
      <c r="AK10" s="256"/>
      <c r="AL10" s="256"/>
      <c r="AM10" s="256"/>
      <c r="AN10" s="256"/>
      <c r="AO10" s="256"/>
      <c r="AP10" s="256"/>
      <c r="AQ10" s="256"/>
      <c r="AR10" s="256"/>
    </row>
    <row r="11" spans="1:44" s="183" customFormat="1" x14ac:dyDescent="0.2">
      <c r="A11" s="206"/>
      <c r="B11" s="207" t="s">
        <v>194</v>
      </c>
      <c r="C11" s="207"/>
      <c r="D11" s="208">
        <v>0</v>
      </c>
      <c r="E11" s="214"/>
      <c r="F11" s="215"/>
      <c r="G11" s="208">
        <v>0</v>
      </c>
      <c r="H11" s="211">
        <v>0</v>
      </c>
      <c r="I11" s="222">
        <f>FACTORS!$C$19*D11/453.592</f>
        <v>0</v>
      </c>
      <c r="J11" s="404">
        <f>FACTORS!$D$19*D11/453.592</f>
        <v>0</v>
      </c>
      <c r="K11" s="405">
        <f>FACTORS!$E$19*D11/453.592</f>
        <v>0</v>
      </c>
      <c r="L11" s="202">
        <f>FACTORS!$F$19*D11/453.592</f>
        <v>0</v>
      </c>
      <c r="M11" s="202">
        <f>FACTORS!$G$19*D11/453.592</f>
        <v>0</v>
      </c>
      <c r="N11" s="201">
        <f>FACTORS!$H$19*D11/453.592</f>
        <v>0</v>
      </c>
      <c r="O11" s="202">
        <f>FACTORS!$I$19*D11/453.592</f>
        <v>0</v>
      </c>
      <c r="P11" s="202">
        <f>FACTORS!$J$19*D11/453.592</f>
        <v>0</v>
      </c>
      <c r="Q11" s="204">
        <f>FACTORS!$K$19*D11/453.592</f>
        <v>0</v>
      </c>
      <c r="R11" s="200">
        <f>I11*$G11*$H11/2000</f>
        <v>0</v>
      </c>
      <c r="S11" s="408">
        <f>J11*$G11*$H11/2000</f>
        <v>0</v>
      </c>
      <c r="T11" s="408">
        <f>K11*$G11*$H11/2000</f>
        <v>0</v>
      </c>
      <c r="U11" s="202">
        <f t="shared" ref="U11:Z11" si="2">L11*$G11*$H11/2000</f>
        <v>0</v>
      </c>
      <c r="V11" s="202">
        <f t="shared" si="2"/>
        <v>0</v>
      </c>
      <c r="W11" s="202">
        <f t="shared" si="2"/>
        <v>0</v>
      </c>
      <c r="X11" s="202">
        <f t="shared" si="2"/>
        <v>0</v>
      </c>
      <c r="Y11" s="202">
        <f t="shared" si="2"/>
        <v>0</v>
      </c>
      <c r="Z11" s="213">
        <f t="shared" si="2"/>
        <v>0</v>
      </c>
      <c r="AA11" s="256"/>
      <c r="AB11" s="256"/>
      <c r="AC11" s="256"/>
      <c r="AD11" s="256"/>
      <c r="AE11" s="256"/>
      <c r="AF11" s="256"/>
      <c r="AG11" s="256"/>
      <c r="AH11" s="256"/>
      <c r="AI11" s="256"/>
      <c r="AJ11" s="256"/>
      <c r="AK11" s="256"/>
      <c r="AL11" s="256"/>
      <c r="AM11" s="256"/>
      <c r="AN11" s="256"/>
      <c r="AO11" s="256"/>
      <c r="AP11" s="256"/>
      <c r="AQ11" s="256"/>
      <c r="AR11" s="256"/>
    </row>
    <row r="12" spans="1:44" s="183" customFormat="1" x14ac:dyDescent="0.2">
      <c r="A12" s="206"/>
      <c r="B12" s="207" t="s">
        <v>200</v>
      </c>
      <c r="C12" s="207"/>
      <c r="D12" s="208">
        <v>0</v>
      </c>
      <c r="E12" s="209">
        <f>FACTORS!$I$2*D12</f>
        <v>0</v>
      </c>
      <c r="F12" s="201">
        <f>E12*24</f>
        <v>0</v>
      </c>
      <c r="G12" s="210">
        <v>0</v>
      </c>
      <c r="H12" s="211">
        <v>0</v>
      </c>
      <c r="I12" s="406">
        <f>FACTORS!$C$18*D12/453.592</f>
        <v>0</v>
      </c>
      <c r="J12" s="404">
        <f>FACTORS!$D$18*D12/453.592</f>
        <v>0</v>
      </c>
      <c r="K12" s="405">
        <f>FACTORS!$E$18*D12/453.592</f>
        <v>0</v>
      </c>
      <c r="L12" s="202">
        <f>FACTORS!$F$18*D12/453.592</f>
        <v>0</v>
      </c>
      <c r="M12" s="202">
        <f>FACTORS!$G$18*D12/453.592</f>
        <v>0</v>
      </c>
      <c r="N12" s="201">
        <f>FACTORS!$H$18*D12/453.592</f>
        <v>0</v>
      </c>
      <c r="O12" s="202">
        <f>FACTORS!$I$18*D12/453.592</f>
        <v>0</v>
      </c>
      <c r="P12" s="202">
        <f>FACTORS!$J$18*D12/453.592</f>
        <v>0</v>
      </c>
      <c r="Q12" s="204">
        <f>FACTORS!$K$18*D12/453.592</f>
        <v>0</v>
      </c>
      <c r="R12" s="200">
        <f>IF(I12=0,0,I12*($F12/($E12*24))*$G12*$H12/2000)</f>
        <v>0</v>
      </c>
      <c r="S12" s="202">
        <f t="shared" ref="S12:W12" si="3">IF(J12=0,0,J12*($F12/($E12*24))*$G12*$H12/2000)</f>
        <v>0</v>
      </c>
      <c r="T12" s="202">
        <f t="shared" si="3"/>
        <v>0</v>
      </c>
      <c r="U12" s="202">
        <f t="shared" si="3"/>
        <v>0</v>
      </c>
      <c r="V12" s="202">
        <f t="shared" si="3"/>
        <v>0</v>
      </c>
      <c r="W12" s="202">
        <f t="shared" si="3"/>
        <v>0</v>
      </c>
      <c r="X12" s="202">
        <f>IFERROR(IF(O12=0,0,O12*($F12/($E12*24))*$G12*$H12/2000),"--")</f>
        <v>0</v>
      </c>
      <c r="Y12" s="202">
        <f t="shared" ref="Y12" si="4">IF(P12=0,0,P12*($F12/($E12*24))*$G12*$H12/2000)</f>
        <v>0</v>
      </c>
      <c r="Z12" s="213">
        <f>IFERROR(IF(Q12=0,0,Q12*($F12/($E12*24))*$G12*$H12/2000),"--")</f>
        <v>0</v>
      </c>
      <c r="AA12" s="256"/>
      <c r="AB12" s="256"/>
      <c r="AC12" s="256"/>
      <c r="AD12" s="256"/>
      <c r="AE12" s="256"/>
      <c r="AF12" s="256"/>
      <c r="AG12" s="256"/>
      <c r="AH12" s="256"/>
      <c r="AI12" s="256"/>
      <c r="AJ12" s="256"/>
      <c r="AK12" s="256"/>
      <c r="AL12" s="256"/>
      <c r="AM12" s="256"/>
      <c r="AN12" s="256"/>
      <c r="AO12" s="256"/>
      <c r="AP12" s="256"/>
      <c r="AQ12" s="256"/>
      <c r="AR12" s="256"/>
    </row>
    <row r="13" spans="1:44" ht="12.75" customHeight="1" x14ac:dyDescent="0.2">
      <c r="A13" s="61"/>
      <c r="B13" s="62"/>
      <c r="C13" s="62"/>
      <c r="D13" s="63"/>
      <c r="E13" s="64" t="s">
        <v>0</v>
      </c>
      <c r="F13" s="65"/>
      <c r="G13" s="66"/>
      <c r="H13" s="67"/>
      <c r="I13" s="59" t="s">
        <v>0</v>
      </c>
      <c r="J13" s="60"/>
      <c r="K13" s="374"/>
      <c r="L13" s="60" t="s">
        <v>0</v>
      </c>
      <c r="M13" s="60"/>
      <c r="N13" s="58"/>
      <c r="O13" s="60"/>
      <c r="P13" s="60"/>
      <c r="Q13" s="151"/>
      <c r="R13" s="75"/>
      <c r="S13" s="60"/>
      <c r="T13" s="60"/>
      <c r="U13" s="60"/>
      <c r="V13" s="60"/>
      <c r="W13" s="60"/>
      <c r="X13" s="68"/>
      <c r="Y13" s="68"/>
      <c r="Z13" s="69"/>
    </row>
    <row r="14" spans="1:44" s="183" customFormat="1" ht="12.75" customHeight="1" x14ac:dyDescent="0.2">
      <c r="A14" s="206" t="s">
        <v>183</v>
      </c>
      <c r="B14" s="207" t="s">
        <v>121</v>
      </c>
      <c r="C14" s="207"/>
      <c r="D14" s="208">
        <v>0</v>
      </c>
      <c r="E14" s="216">
        <f>FACTORS!$I$2*D14</f>
        <v>0</v>
      </c>
      <c r="F14" s="201">
        <f>E14*24</f>
        <v>0</v>
      </c>
      <c r="G14" s="210">
        <v>0</v>
      </c>
      <c r="H14" s="211">
        <v>0</v>
      </c>
      <c r="I14" s="236">
        <f>FACTORS!$C$17*D14/453.592</f>
        <v>0</v>
      </c>
      <c r="J14" s="407">
        <f>FACTORS!$D$17*D14/453.592</f>
        <v>0</v>
      </c>
      <c r="K14" s="409">
        <f>FACTORS!$E$17*D14/453.592</f>
        <v>0</v>
      </c>
      <c r="L14" s="219">
        <f>FACTORS!$F$17*D14/453.592</f>
        <v>0</v>
      </c>
      <c r="M14" s="219">
        <f>FACTORS!$G$17*D14/453.592</f>
        <v>0</v>
      </c>
      <c r="N14" s="218">
        <f>FACTORS!$H$17*D14/453.592</f>
        <v>0</v>
      </c>
      <c r="O14" s="219">
        <f>FACTORS!$I$17*D14/453.592</f>
        <v>0</v>
      </c>
      <c r="P14" s="219">
        <f>FACTORS!$J$17*D14/453.592</f>
        <v>0</v>
      </c>
      <c r="Q14" s="220">
        <f>FACTORS!$K$17*D14/453.592</f>
        <v>0</v>
      </c>
      <c r="R14" s="217">
        <f>IF(I14=0,0,I14*($F14/($E14*24))*$G14*$H14/2000)</f>
        <v>0</v>
      </c>
      <c r="S14" s="219">
        <f t="shared" ref="S14:W14" si="5">IF(J14=0,0,J14*($F14/($E14*24))*$G14*$H14/2000)</f>
        <v>0</v>
      </c>
      <c r="T14" s="219">
        <f t="shared" si="5"/>
        <v>0</v>
      </c>
      <c r="U14" s="219">
        <f t="shared" si="5"/>
        <v>0</v>
      </c>
      <c r="V14" s="219">
        <f t="shared" si="5"/>
        <v>0</v>
      </c>
      <c r="W14" s="219">
        <f t="shared" si="5"/>
        <v>0</v>
      </c>
      <c r="X14" s="219">
        <f>IFERROR(IF(O14=0,0,O14*($F14/($E14*24))*$G14*$H14/2000),"--")</f>
        <v>0</v>
      </c>
      <c r="Y14" s="219">
        <f t="shared" ref="Y14" si="6">IF(P14=0,0,P14*($F14/($E14*24))*$G14*$H14/2000)</f>
        <v>0</v>
      </c>
      <c r="Z14" s="221">
        <f>IFERROR(IF(Q14=0,0,Q14*($F14/($E14*24))*$G14*$H14/2000),"--")</f>
        <v>0</v>
      </c>
      <c r="AA14" s="256"/>
      <c r="AB14" s="256"/>
      <c r="AC14" s="256"/>
      <c r="AD14" s="256"/>
      <c r="AE14" s="256"/>
      <c r="AF14" s="256"/>
      <c r="AG14" s="256"/>
      <c r="AH14" s="256"/>
      <c r="AI14" s="256"/>
      <c r="AJ14" s="256"/>
      <c r="AK14" s="256"/>
      <c r="AL14" s="256"/>
      <c r="AM14" s="256"/>
      <c r="AN14" s="256"/>
      <c r="AO14" s="256"/>
      <c r="AP14" s="256"/>
      <c r="AQ14" s="256"/>
      <c r="AR14" s="256"/>
    </row>
    <row r="15" spans="1:44" ht="12.75" customHeight="1" x14ac:dyDescent="0.2">
      <c r="A15" s="61"/>
      <c r="B15" s="62"/>
      <c r="C15" s="62"/>
      <c r="D15" s="450" t="s">
        <v>205</v>
      </c>
      <c r="E15" s="64" t="s">
        <v>0</v>
      </c>
      <c r="F15" s="65"/>
      <c r="G15" s="66"/>
      <c r="H15" s="67"/>
      <c r="I15" s="59" t="s">
        <v>0</v>
      </c>
      <c r="J15" s="414" t="s">
        <v>0</v>
      </c>
      <c r="K15" s="415" t="s">
        <v>0</v>
      </c>
      <c r="L15" s="60" t="s">
        <v>0</v>
      </c>
      <c r="M15" s="60"/>
      <c r="N15" s="58"/>
      <c r="O15" s="60"/>
      <c r="P15" s="60"/>
      <c r="Q15" s="151"/>
      <c r="R15" s="75"/>
      <c r="S15" s="60"/>
      <c r="T15" s="60"/>
      <c r="U15" s="60"/>
      <c r="V15" s="60"/>
      <c r="W15" s="60"/>
      <c r="X15" s="68"/>
      <c r="Y15" s="68"/>
      <c r="Z15" s="69"/>
    </row>
    <row r="16" spans="1:44" ht="12.75" customHeight="1" x14ac:dyDescent="0.2">
      <c r="A16" s="230" t="s">
        <v>61</v>
      </c>
      <c r="B16" s="231" t="s">
        <v>31</v>
      </c>
      <c r="C16" s="232"/>
      <c r="D16" s="233">
        <v>0</v>
      </c>
      <c r="E16" s="227"/>
      <c r="F16" s="228"/>
      <c r="G16" s="234">
        <v>0</v>
      </c>
      <c r="H16" s="235">
        <v>0</v>
      </c>
      <c r="I16" s="236">
        <f>FACTORS!$C$27*D16/24</f>
        <v>0</v>
      </c>
      <c r="J16" s="407">
        <f>FACTORS!$D$27*D16/24</f>
        <v>0</v>
      </c>
      <c r="K16" s="409">
        <f>FACTORS!$E$27*D16/24</f>
        <v>0</v>
      </c>
      <c r="L16" s="219">
        <f>FACTORS!$F$27*D16/24</f>
        <v>0</v>
      </c>
      <c r="M16" s="219">
        <f>FACTORS!$G$27*D16/24</f>
        <v>0</v>
      </c>
      <c r="N16" s="218">
        <f>FACTORS!$H$27*D16/24</f>
        <v>0</v>
      </c>
      <c r="O16" s="218">
        <f>FACTORS!$I$27*D16/24</f>
        <v>0</v>
      </c>
      <c r="P16" s="219">
        <f>FACTORS!$J$27*D16/24</f>
        <v>0</v>
      </c>
      <c r="Q16" s="219">
        <f>FACTORS!$K$27*D16/24</f>
        <v>0</v>
      </c>
      <c r="R16" s="236">
        <f>IFERROR(I16*$G16*$H16/2000, "--")</f>
        <v>0</v>
      </c>
      <c r="S16" s="408">
        <f>IFERROR(J16*$G16*$H16/2000, "--")</f>
        <v>0</v>
      </c>
      <c r="T16" s="409">
        <f>IFERROR(K16*$G16*$H16/2000, "--")</f>
        <v>0</v>
      </c>
      <c r="U16" s="219">
        <f t="shared" ref="U16:Z16" si="7">IFERROR(L16*$G16*$H16/2000, "--")</f>
        <v>0</v>
      </c>
      <c r="V16" s="219">
        <f t="shared" si="7"/>
        <v>0</v>
      </c>
      <c r="W16" s="219">
        <f t="shared" si="7"/>
        <v>0</v>
      </c>
      <c r="X16" s="219">
        <f t="shared" si="7"/>
        <v>0</v>
      </c>
      <c r="Y16" s="218">
        <f t="shared" si="7"/>
        <v>0</v>
      </c>
      <c r="Z16" s="221">
        <f t="shared" si="7"/>
        <v>0</v>
      </c>
    </row>
    <row r="17" spans="1:44" ht="15" customHeight="1" x14ac:dyDescent="0.2">
      <c r="A17" s="237" t="s">
        <v>65</v>
      </c>
      <c r="B17" s="207" t="s">
        <v>128</v>
      </c>
      <c r="C17" s="238"/>
      <c r="D17" s="239"/>
      <c r="E17" s="209">
        <v>0</v>
      </c>
      <c r="F17" s="229" t="s">
        <v>0</v>
      </c>
      <c r="G17" s="208">
        <v>0</v>
      </c>
      <c r="H17" s="211">
        <v>0</v>
      </c>
      <c r="I17" s="222">
        <f>FACTORS!$C$22*E17/1000000</f>
        <v>0</v>
      </c>
      <c r="J17" s="408">
        <f>FACTORS!$D$22*E17/1000000</f>
        <v>0</v>
      </c>
      <c r="K17" s="404">
        <f>FACTORS!$E$22*E17/1000000</f>
        <v>0</v>
      </c>
      <c r="L17" s="202">
        <f>FACTORS!$F$22*E17/1000000</f>
        <v>0</v>
      </c>
      <c r="M17" s="202">
        <f>FACTORS!$G$22*E17/1000000</f>
        <v>0</v>
      </c>
      <c r="N17" s="201">
        <f>FACTORS!$H$22*E17/1000000</f>
        <v>0</v>
      </c>
      <c r="O17" s="202" t="str">
        <f>IFERROR(FACTORS!$I$22*E17/1000000,"--")</f>
        <v>--</v>
      </c>
      <c r="P17" s="202">
        <f>FACTORS!$J$22*E17/1000000</f>
        <v>0</v>
      </c>
      <c r="Q17" s="212" t="str">
        <f>IFERROR(FACTORS!$K$22*E17/1000000, "--")</f>
        <v>--</v>
      </c>
      <c r="R17" s="222">
        <f>IFERROR(I17*$G17*$H17/2000,"--")</f>
        <v>0</v>
      </c>
      <c r="S17" s="408">
        <f t="shared" ref="S17:Z20" si="8">IFERROR(J17*$G17*$H17/2000,"--")</f>
        <v>0</v>
      </c>
      <c r="T17" s="404">
        <f t="shared" si="8"/>
        <v>0</v>
      </c>
      <c r="U17" s="202">
        <f t="shared" si="8"/>
        <v>0</v>
      </c>
      <c r="V17" s="202">
        <f t="shared" si="8"/>
        <v>0</v>
      </c>
      <c r="W17" s="202">
        <f t="shared" si="8"/>
        <v>0</v>
      </c>
      <c r="X17" s="202" t="str">
        <f t="shared" si="8"/>
        <v>--</v>
      </c>
      <c r="Y17" s="202">
        <f t="shared" si="8"/>
        <v>0</v>
      </c>
      <c r="Z17" s="213" t="str">
        <f t="shared" si="8"/>
        <v>--</v>
      </c>
    </row>
    <row r="18" spans="1:44" ht="15" customHeight="1" x14ac:dyDescent="0.2">
      <c r="A18" s="237"/>
      <c r="B18" s="207" t="s">
        <v>129</v>
      </c>
      <c r="C18" s="207"/>
      <c r="D18" s="240"/>
      <c r="E18" s="209">
        <v>0</v>
      </c>
      <c r="F18" s="229" t="s">
        <v>0</v>
      </c>
      <c r="G18" s="208">
        <v>0</v>
      </c>
      <c r="H18" s="211">
        <v>0</v>
      </c>
      <c r="I18" s="222">
        <f>FACTORS!$C$23*E18/1000000</f>
        <v>0</v>
      </c>
      <c r="J18" s="408">
        <f>FACTORS!$D$23*E18/1000000</f>
        <v>0</v>
      </c>
      <c r="K18" s="404">
        <f>FACTORS!$E$23*E18/1000000</f>
        <v>0</v>
      </c>
      <c r="L18" s="202">
        <f>FACTORS!$F$23*E18/1000000</f>
        <v>0</v>
      </c>
      <c r="M18" s="202">
        <f>FACTORS!$G$23*E18/1000000</f>
        <v>0</v>
      </c>
      <c r="N18" s="201">
        <f>FACTORS!$H$23*E18/1000000</f>
        <v>0</v>
      </c>
      <c r="O18" s="202" t="str">
        <f>IFERROR(FACTORS!$I$23*E18/1000000, "--")</f>
        <v>--</v>
      </c>
      <c r="P18" s="202">
        <f>FACTORS!$J$23*E18/1000000</f>
        <v>0</v>
      </c>
      <c r="Q18" s="223" t="str">
        <f>IFERROR(FACTORS!$K$23*E18/1000000, "--")</f>
        <v>--</v>
      </c>
      <c r="R18" s="222">
        <f>IFERROR(I18*$G18*$H18/2000,"--")</f>
        <v>0</v>
      </c>
      <c r="S18" s="408">
        <f t="shared" si="8"/>
        <v>0</v>
      </c>
      <c r="T18" s="404">
        <f t="shared" si="8"/>
        <v>0</v>
      </c>
      <c r="U18" s="202">
        <f t="shared" si="8"/>
        <v>0</v>
      </c>
      <c r="V18" s="202">
        <f t="shared" si="8"/>
        <v>0</v>
      </c>
      <c r="W18" s="202">
        <f t="shared" si="8"/>
        <v>0</v>
      </c>
      <c r="X18" s="202" t="str">
        <f t="shared" si="8"/>
        <v>--</v>
      </c>
      <c r="Y18" s="202">
        <f t="shared" si="8"/>
        <v>0</v>
      </c>
      <c r="Z18" s="213" t="str">
        <f t="shared" si="8"/>
        <v>--</v>
      </c>
    </row>
    <row r="19" spans="1:44" ht="15" customHeight="1" x14ac:dyDescent="0.2">
      <c r="A19" s="237"/>
      <c r="B19" s="207" t="s">
        <v>130</v>
      </c>
      <c r="C19" s="207"/>
      <c r="D19" s="240"/>
      <c r="E19" s="209">
        <v>0</v>
      </c>
      <c r="F19" s="229" t="s">
        <v>0</v>
      </c>
      <c r="G19" s="208">
        <v>0</v>
      </c>
      <c r="H19" s="211">
        <v>0</v>
      </c>
      <c r="I19" s="222">
        <f>FACTORS!$C$24*E19/1000000</f>
        <v>0</v>
      </c>
      <c r="J19" s="408">
        <f>FACTORS!$D$24*E19/1000000</f>
        <v>0</v>
      </c>
      <c r="K19" s="404">
        <f>FACTORS!$E$24*E19/1000000</f>
        <v>0</v>
      </c>
      <c r="L19" s="202">
        <f>FACTORS!$F$24*E19/1000000</f>
        <v>0</v>
      </c>
      <c r="M19" s="202">
        <f>FACTORS!$G$24*E19/1000000</f>
        <v>0</v>
      </c>
      <c r="N19" s="201">
        <f>FACTORS!$H$24*E19/1000000</f>
        <v>0</v>
      </c>
      <c r="O19" s="202" t="str">
        <f>IFERROR(FACTORS!$I$24*E19/1000000, "--")</f>
        <v>--</v>
      </c>
      <c r="P19" s="202">
        <f>FACTORS!$J$24*E19/1000000</f>
        <v>0</v>
      </c>
      <c r="Q19" s="223" t="str">
        <f>IFERROR(FACTORS!$K$24*E19/1000000, "--")</f>
        <v>--</v>
      </c>
      <c r="R19" s="222">
        <f>IFERROR(I19*$G19*$H19/2000,"--")</f>
        <v>0</v>
      </c>
      <c r="S19" s="408">
        <f t="shared" si="8"/>
        <v>0</v>
      </c>
      <c r="T19" s="404">
        <f t="shared" si="8"/>
        <v>0</v>
      </c>
      <c r="U19" s="202">
        <f t="shared" si="8"/>
        <v>0</v>
      </c>
      <c r="V19" s="202">
        <f t="shared" si="8"/>
        <v>0</v>
      </c>
      <c r="W19" s="202">
        <f t="shared" si="8"/>
        <v>0</v>
      </c>
      <c r="X19" s="202" t="str">
        <f t="shared" si="8"/>
        <v>--</v>
      </c>
      <c r="Y19" s="202">
        <f t="shared" si="8"/>
        <v>0</v>
      </c>
      <c r="Z19" s="213" t="str">
        <f t="shared" si="8"/>
        <v>--</v>
      </c>
    </row>
    <row r="20" spans="1:44" ht="15" customHeight="1" x14ac:dyDescent="0.2">
      <c r="A20" s="237"/>
      <c r="B20" s="207" t="s">
        <v>131</v>
      </c>
      <c r="C20" s="207"/>
      <c r="D20" s="240"/>
      <c r="E20" s="209">
        <v>0</v>
      </c>
      <c r="F20" s="229" t="s">
        <v>0</v>
      </c>
      <c r="G20" s="208">
        <v>0</v>
      </c>
      <c r="H20" s="211">
        <v>0</v>
      </c>
      <c r="I20" s="222">
        <f>FACTORS!$C$25*E20/1000000</f>
        <v>0</v>
      </c>
      <c r="J20" s="408">
        <f>FACTORS!$D$25*E20/1000000</f>
        <v>0</v>
      </c>
      <c r="K20" s="404">
        <f>FACTORS!$E$25*E20/1000000</f>
        <v>0</v>
      </c>
      <c r="L20" s="202">
        <f>FACTORS!$F$25*E20/1000000</f>
        <v>0</v>
      </c>
      <c r="M20" s="202">
        <f>FACTORS!$G$25*E20/1000000</f>
        <v>0</v>
      </c>
      <c r="N20" s="201">
        <f>FACTORS!$H$25*E20/1000000</f>
        <v>0</v>
      </c>
      <c r="O20" s="202" t="str">
        <f>IFERROR(FACTORS!$I$25*E20/1000000, "--")</f>
        <v>--</v>
      </c>
      <c r="P20" s="202">
        <f>FACTORS!$J$25*E20/1000000</f>
        <v>0</v>
      </c>
      <c r="Q20" s="223" t="str">
        <f>IFERROR(FACTORS!$K$25*E20/1000000, "--")</f>
        <v>--</v>
      </c>
      <c r="R20" s="328">
        <f>IFERROR(I20*$G20*$H20/2000,"--")</f>
        <v>0</v>
      </c>
      <c r="S20" s="410">
        <f t="shared" si="8"/>
        <v>0</v>
      </c>
      <c r="T20" s="411">
        <f>IFERROR(K20*$G20*$H20/2000,"--")</f>
        <v>0</v>
      </c>
      <c r="U20" s="225">
        <f t="shared" si="8"/>
        <v>0</v>
      </c>
      <c r="V20" s="225">
        <f t="shared" si="8"/>
        <v>0</v>
      </c>
      <c r="W20" s="225">
        <f t="shared" si="8"/>
        <v>0</v>
      </c>
      <c r="X20" s="225" t="str">
        <f t="shared" si="8"/>
        <v>--</v>
      </c>
      <c r="Y20" s="225">
        <f t="shared" si="8"/>
        <v>0</v>
      </c>
      <c r="Z20" s="226" t="str">
        <f t="shared" si="8"/>
        <v>--</v>
      </c>
    </row>
    <row r="21" spans="1:44" ht="24.75" customHeight="1" x14ac:dyDescent="0.2">
      <c r="A21" s="360" t="s">
        <v>184</v>
      </c>
      <c r="B21" s="362" t="s">
        <v>160</v>
      </c>
      <c r="C21" s="157"/>
      <c r="D21" s="357" t="s">
        <v>100</v>
      </c>
      <c r="E21" s="74"/>
      <c r="F21" s="74"/>
      <c r="G21" s="169" t="s">
        <v>60</v>
      </c>
      <c r="H21" s="358" t="s">
        <v>71</v>
      </c>
      <c r="I21" s="375"/>
      <c r="J21" s="425"/>
      <c r="K21" s="426"/>
      <c r="L21" s="320"/>
      <c r="M21" s="320"/>
      <c r="N21" s="121"/>
      <c r="O21" s="320"/>
      <c r="P21" s="320"/>
      <c r="Q21" s="359"/>
      <c r="R21" s="59"/>
      <c r="S21" s="414"/>
      <c r="T21" s="415"/>
      <c r="U21" s="60"/>
      <c r="V21" s="60"/>
      <c r="W21" s="60"/>
      <c r="X21" s="60"/>
      <c r="Y21" s="60"/>
      <c r="Z21" s="110"/>
    </row>
    <row r="22" spans="1:44" s="183" customFormat="1" ht="12.75" customHeight="1" x14ac:dyDescent="0.2">
      <c r="A22" s="324"/>
      <c r="B22" s="271" t="s">
        <v>120</v>
      </c>
      <c r="C22" s="272"/>
      <c r="D22" s="273">
        <v>0</v>
      </c>
      <c r="E22" s="270"/>
      <c r="F22" s="270"/>
      <c r="G22" s="273">
        <v>0</v>
      </c>
      <c r="H22" s="325">
        <v>0</v>
      </c>
      <c r="I22" s="328">
        <f>FACTORS!$C$41*D22/453.592</f>
        <v>0</v>
      </c>
      <c r="J22" s="410">
        <f>FACTORS!$D$41*D22/453.592</f>
        <v>0</v>
      </c>
      <c r="K22" s="411">
        <f>FACTORS!$E$41*D22/453.592</f>
        <v>0</v>
      </c>
      <c r="L22" s="225">
        <f>FACTORS!$F$41*D22/453.592</f>
        <v>0</v>
      </c>
      <c r="M22" s="225">
        <f>FACTORS!$G$41*D22/453.592</f>
        <v>0</v>
      </c>
      <c r="N22" s="326">
        <f>FACTORS!$H$41*D22/453.592</f>
        <v>0</v>
      </c>
      <c r="O22" s="365" t="s">
        <v>108</v>
      </c>
      <c r="P22" s="225">
        <f>FACTORS!$J$41*D22/453.592</f>
        <v>0</v>
      </c>
      <c r="Q22" s="356">
        <f>FACTORS!$K$41*D22/453.592</f>
        <v>0</v>
      </c>
      <c r="R22" s="224">
        <f t="shared" ref="R22" si="9">IFERROR((I22*$G22*$H22)/2000, "")</f>
        <v>0</v>
      </c>
      <c r="S22" s="410">
        <f>IFERROR((J22*$G22*$H22)/2000, "")</f>
        <v>0</v>
      </c>
      <c r="T22" s="411">
        <f>IFERROR((K22*$G22*$H22)/2000, "")</f>
        <v>0</v>
      </c>
      <c r="U22" s="327">
        <f t="shared" ref="U22:W22" si="10">IFERROR((L22*$G22*$H22)/2000, "")</f>
        <v>0</v>
      </c>
      <c r="V22" s="327">
        <f t="shared" si="10"/>
        <v>0</v>
      </c>
      <c r="W22" s="327">
        <f t="shared" si="10"/>
        <v>0</v>
      </c>
      <c r="X22" s="327" t="str">
        <f>IFERROR((O22*$G22*$H22)/2000, "--")</f>
        <v>--</v>
      </c>
      <c r="Y22" s="327">
        <f t="shared" ref="Y22:Z22" si="11">IFERROR((P22*$G22*$H22)/2000, "")</f>
        <v>0</v>
      </c>
      <c r="Z22" s="226">
        <f t="shared" si="11"/>
        <v>0</v>
      </c>
      <c r="AA22" s="256"/>
      <c r="AB22" s="256"/>
      <c r="AC22" s="256"/>
      <c r="AD22" s="256"/>
      <c r="AE22" s="256"/>
      <c r="AF22" s="256"/>
      <c r="AG22" s="256"/>
      <c r="AH22" s="256"/>
      <c r="AI22" s="256"/>
      <c r="AJ22" s="256"/>
      <c r="AK22" s="256"/>
      <c r="AL22" s="256"/>
      <c r="AM22" s="256"/>
      <c r="AN22" s="256"/>
      <c r="AO22" s="256"/>
      <c r="AP22" s="256"/>
      <c r="AQ22" s="256"/>
      <c r="AR22" s="256"/>
    </row>
    <row r="23" spans="1:44" s="252" customFormat="1" ht="12.75" customHeight="1" x14ac:dyDescent="0.2">
      <c r="A23" s="248">
        <f>EMISSIONS8!A23+1</f>
        <v>2028</v>
      </c>
      <c r="B23" s="249" t="s">
        <v>123</v>
      </c>
      <c r="C23" s="355"/>
      <c r="D23" s="241"/>
      <c r="E23" s="241"/>
      <c r="F23" s="250"/>
      <c r="G23" s="241"/>
      <c r="H23" s="251"/>
      <c r="I23" s="379">
        <f t="shared" ref="I23:Q23" si="12">SUM(I7:I22)</f>
        <v>0</v>
      </c>
      <c r="J23" s="412">
        <f t="shared" si="12"/>
        <v>0</v>
      </c>
      <c r="K23" s="413">
        <f t="shared" si="12"/>
        <v>0</v>
      </c>
      <c r="L23" s="253">
        <f t="shared" si="12"/>
        <v>0</v>
      </c>
      <c r="M23" s="253">
        <f t="shared" si="12"/>
        <v>0</v>
      </c>
      <c r="N23" s="253">
        <f t="shared" si="12"/>
        <v>0</v>
      </c>
      <c r="O23" s="253">
        <f t="shared" si="12"/>
        <v>0</v>
      </c>
      <c r="P23" s="253">
        <f t="shared" si="12"/>
        <v>0</v>
      </c>
      <c r="Q23" s="253">
        <f t="shared" si="12"/>
        <v>0</v>
      </c>
      <c r="R23" s="382">
        <f t="shared" ref="R23:Z23" si="13">SUM(R7:R22)</f>
        <v>0</v>
      </c>
      <c r="S23" s="412">
        <f t="shared" si="13"/>
        <v>0</v>
      </c>
      <c r="T23" s="413">
        <f t="shared" si="13"/>
        <v>0</v>
      </c>
      <c r="U23" s="253">
        <f t="shared" si="13"/>
        <v>0</v>
      </c>
      <c r="V23" s="253">
        <f t="shared" si="13"/>
        <v>0</v>
      </c>
      <c r="W23" s="253">
        <f t="shared" si="13"/>
        <v>0</v>
      </c>
      <c r="X23" s="253">
        <f t="shared" si="13"/>
        <v>0</v>
      </c>
      <c r="Y23" s="253">
        <f t="shared" si="13"/>
        <v>0</v>
      </c>
      <c r="Z23" s="261">
        <f t="shared" si="13"/>
        <v>0</v>
      </c>
      <c r="AA23" s="256"/>
      <c r="AB23" s="256"/>
      <c r="AC23" s="256"/>
      <c r="AD23" s="256"/>
      <c r="AE23" s="256"/>
      <c r="AF23" s="256"/>
      <c r="AG23" s="256"/>
      <c r="AH23" s="256"/>
      <c r="AI23" s="256"/>
      <c r="AJ23" s="256"/>
      <c r="AK23" s="256"/>
      <c r="AL23" s="256"/>
      <c r="AM23" s="256"/>
      <c r="AN23" s="256"/>
      <c r="AO23" s="256"/>
      <c r="AP23" s="256"/>
      <c r="AQ23" s="256"/>
      <c r="AR23" s="256"/>
    </row>
    <row r="24" spans="1:44" ht="26.1" customHeight="1" x14ac:dyDescent="0.2">
      <c r="A24" s="280" t="s">
        <v>66</v>
      </c>
      <c r="B24" s="76" t="s">
        <v>67</v>
      </c>
      <c r="C24" s="76"/>
      <c r="D24" s="70"/>
      <c r="E24" s="70"/>
      <c r="F24" s="71"/>
      <c r="G24" s="70"/>
      <c r="H24" s="119"/>
      <c r="I24" s="376"/>
      <c r="J24" s="421"/>
      <c r="K24" s="422"/>
      <c r="L24" s="285"/>
      <c r="M24" s="285"/>
      <c r="N24" s="285"/>
      <c r="O24" s="285"/>
      <c r="P24" s="285"/>
      <c r="Q24" s="120"/>
      <c r="R24" s="378">
        <f>33.3*$B$25</f>
        <v>0</v>
      </c>
      <c r="S24" s="417"/>
      <c r="T24" s="418"/>
      <c r="U24" s="288">
        <f>33.3*$B$25</f>
        <v>0</v>
      </c>
      <c r="V24" s="288">
        <f>33.3*$B$25</f>
        <v>0</v>
      </c>
      <c r="W24" s="288">
        <f>33.3*$B$25</f>
        <v>0</v>
      </c>
      <c r="X24" s="288"/>
      <c r="Y24" s="288">
        <f>3400*$B$25^(2/3)</f>
        <v>0</v>
      </c>
      <c r="Z24" s="289"/>
    </row>
    <row r="25" spans="1:44" s="276" customFormat="1" ht="12.75" customHeight="1" x14ac:dyDescent="0.2">
      <c r="A25" s="350"/>
      <c r="B25" s="137">
        <f>EMISSIONS1!B25</f>
        <v>0</v>
      </c>
      <c r="C25" s="137"/>
      <c r="D25" s="11"/>
      <c r="E25" s="11"/>
      <c r="F25" s="136"/>
      <c r="G25" s="11"/>
      <c r="H25" s="72"/>
      <c r="I25" s="321"/>
      <c r="J25" s="387"/>
      <c r="K25" s="416"/>
      <c r="L25" s="153"/>
      <c r="M25" s="153"/>
      <c r="N25" s="153"/>
      <c r="O25" s="153"/>
      <c r="P25" s="153"/>
      <c r="Q25" s="351"/>
      <c r="R25" s="352"/>
      <c r="S25" s="419"/>
      <c r="T25" s="420"/>
      <c r="U25" s="353"/>
      <c r="V25" s="353"/>
      <c r="W25" s="353"/>
      <c r="X25" s="353"/>
      <c r="Y25" s="353"/>
      <c r="Z25" s="354"/>
      <c r="AA25" s="275"/>
      <c r="AB25" s="275"/>
      <c r="AC25" s="275"/>
      <c r="AD25" s="275"/>
      <c r="AE25" s="275"/>
      <c r="AF25" s="275"/>
      <c r="AG25" s="275"/>
      <c r="AH25" s="275"/>
      <c r="AI25" s="275"/>
      <c r="AJ25" s="275"/>
      <c r="AK25" s="275"/>
      <c r="AL25" s="275"/>
      <c r="AM25" s="275"/>
      <c r="AN25" s="275"/>
      <c r="AO25" s="275"/>
      <c r="AP25" s="275"/>
      <c r="AQ25" s="275"/>
      <c r="AR25" s="275"/>
    </row>
    <row r="26" spans="1:44" s="183" customFormat="1" ht="12.75" customHeight="1" x14ac:dyDescent="0.2">
      <c r="A26" s="174" t="s">
        <v>61</v>
      </c>
      <c r="B26" s="175" t="s">
        <v>114</v>
      </c>
      <c r="C26" s="175"/>
      <c r="D26" s="176">
        <v>0</v>
      </c>
      <c r="E26" s="177">
        <f>FACTORS!$I$2*D26</f>
        <v>0</v>
      </c>
      <c r="F26" s="178">
        <f t="shared" ref="F26:F32" si="14">E26*24</f>
        <v>0</v>
      </c>
      <c r="G26" s="179">
        <v>0</v>
      </c>
      <c r="H26" s="180">
        <v>0</v>
      </c>
      <c r="I26" s="184">
        <f>FACTORS!$C$17*D26/453.592</f>
        <v>0</v>
      </c>
      <c r="J26" s="332">
        <f>FACTORS!$D$17*D26/453.592</f>
        <v>0</v>
      </c>
      <c r="K26" s="246">
        <f>FACTORS!$E$17*D26/453.592</f>
        <v>0</v>
      </c>
      <c r="L26" s="181">
        <f>FACTORS!$F$17*D26/453.592</f>
        <v>0</v>
      </c>
      <c r="M26" s="181">
        <f>FACTORS!$G$17*D26/453.592</f>
        <v>0</v>
      </c>
      <c r="N26" s="178">
        <f>FACTORS!$H$17*D26/453.592</f>
        <v>0</v>
      </c>
      <c r="O26" s="181">
        <f>FACTORS!$I$17*D26/453.592</f>
        <v>0</v>
      </c>
      <c r="P26" s="181">
        <f>FACTORS!$J$17*D26/453.592</f>
        <v>0</v>
      </c>
      <c r="Q26" s="191">
        <f>FACTORS!$K$17*D26/453.592</f>
        <v>0</v>
      </c>
      <c r="R26" s="184">
        <f t="shared" ref="R26:W32" si="15">IF(I26=0,0,I26*($F26/($E26*24))*$G26*$H26/2000)</f>
        <v>0</v>
      </c>
      <c r="S26" s="332">
        <f t="shared" si="15"/>
        <v>0</v>
      </c>
      <c r="T26" s="246">
        <f t="shared" si="15"/>
        <v>0</v>
      </c>
      <c r="U26" s="181">
        <f t="shared" si="15"/>
        <v>0</v>
      </c>
      <c r="V26" s="181">
        <f t="shared" si="15"/>
        <v>0</v>
      </c>
      <c r="W26" s="181">
        <f t="shared" si="15"/>
        <v>0</v>
      </c>
      <c r="X26" s="181">
        <f t="shared" ref="X26:X32" si="16">IFERROR(IF(O26=0,0,O26*($F26/($E26*24))*$G26*$H26/2000),"--")</f>
        <v>0</v>
      </c>
      <c r="Y26" s="181">
        <f t="shared" ref="Y26:Y32" si="17">IF(P26=0,0,P26*($F26/($E26*24))*$G26*$H26/2000)</f>
        <v>0</v>
      </c>
      <c r="Z26" s="182">
        <f t="shared" ref="Z26:Z32" si="18">IFERROR(IF(Q26=0,0,Q26*($F26/($E26*24))*$G26*$H26/2000),"--")</f>
        <v>0</v>
      </c>
      <c r="AA26" s="256"/>
      <c r="AB26" s="256"/>
      <c r="AC26" s="256"/>
      <c r="AD26" s="256"/>
      <c r="AE26" s="256"/>
      <c r="AF26" s="256"/>
      <c r="AG26" s="256"/>
      <c r="AH26" s="256"/>
      <c r="AI26" s="256"/>
      <c r="AJ26" s="256"/>
      <c r="AK26" s="256"/>
      <c r="AL26" s="256"/>
      <c r="AM26" s="256"/>
      <c r="AN26" s="256"/>
      <c r="AO26" s="256"/>
      <c r="AP26" s="256"/>
      <c r="AQ26" s="256"/>
      <c r="AR26" s="256"/>
    </row>
    <row r="27" spans="1:44" s="183" customFormat="1" x14ac:dyDescent="0.2">
      <c r="A27" s="174"/>
      <c r="B27" s="175" t="s">
        <v>115</v>
      </c>
      <c r="C27" s="175"/>
      <c r="D27" s="176">
        <v>0</v>
      </c>
      <c r="E27" s="177">
        <f>FACTORS!$I$2*D27</f>
        <v>0</v>
      </c>
      <c r="F27" s="178">
        <f t="shared" si="14"/>
        <v>0</v>
      </c>
      <c r="G27" s="176">
        <v>0</v>
      </c>
      <c r="H27" s="180">
        <v>0</v>
      </c>
      <c r="I27" s="184">
        <f>FACTORS!$C$17*D27/453.592</f>
        <v>0</v>
      </c>
      <c r="J27" s="181">
        <f>FACTORS!$D$17*D27/453.592</f>
        <v>0</v>
      </c>
      <c r="K27" s="246">
        <f>FACTORS!$E$17*D27/453.592</f>
        <v>0</v>
      </c>
      <c r="L27" s="181">
        <f>FACTORS!$F$17*D27/453.592</f>
        <v>0</v>
      </c>
      <c r="M27" s="181">
        <f>FACTORS!$G$17*D27/453.592</f>
        <v>0</v>
      </c>
      <c r="N27" s="178">
        <f>FACTORS!$H$17*D27/453.592</f>
        <v>0</v>
      </c>
      <c r="O27" s="181">
        <f>FACTORS!$I$17*D27/453.592</f>
        <v>0</v>
      </c>
      <c r="P27" s="181">
        <f>FACTORS!$J$17*D27/453.592</f>
        <v>0</v>
      </c>
      <c r="Q27" s="191">
        <f>FACTORS!$K$17*D27/453.592</f>
        <v>0</v>
      </c>
      <c r="R27" s="184">
        <f t="shared" si="15"/>
        <v>0</v>
      </c>
      <c r="S27" s="181">
        <f t="shared" si="15"/>
        <v>0</v>
      </c>
      <c r="T27" s="181">
        <f t="shared" si="15"/>
        <v>0</v>
      </c>
      <c r="U27" s="181">
        <f t="shared" si="15"/>
        <v>0</v>
      </c>
      <c r="V27" s="181">
        <f t="shared" si="15"/>
        <v>0</v>
      </c>
      <c r="W27" s="181">
        <f t="shared" si="15"/>
        <v>0</v>
      </c>
      <c r="X27" s="181">
        <f t="shared" si="16"/>
        <v>0</v>
      </c>
      <c r="Y27" s="181">
        <f t="shared" si="17"/>
        <v>0</v>
      </c>
      <c r="Z27" s="182">
        <f t="shared" si="18"/>
        <v>0</v>
      </c>
      <c r="AA27" s="256"/>
      <c r="AB27" s="256"/>
      <c r="AC27" s="256"/>
      <c r="AD27" s="256"/>
      <c r="AE27" s="256"/>
      <c r="AF27" s="256"/>
      <c r="AG27" s="256"/>
      <c r="AH27" s="256"/>
      <c r="AI27" s="256"/>
      <c r="AJ27" s="256"/>
      <c r="AK27" s="256"/>
      <c r="AL27" s="256"/>
      <c r="AM27" s="256"/>
      <c r="AN27" s="256"/>
      <c r="AO27" s="256"/>
      <c r="AP27" s="256"/>
      <c r="AQ27" s="256"/>
      <c r="AR27" s="256"/>
    </row>
    <row r="28" spans="1:44" s="183" customFormat="1" x14ac:dyDescent="0.2">
      <c r="A28" s="174"/>
      <c r="B28" s="175" t="s">
        <v>116</v>
      </c>
      <c r="C28" s="175"/>
      <c r="D28" s="176">
        <v>0</v>
      </c>
      <c r="E28" s="177">
        <f>FACTORS!$I$2*D28</f>
        <v>0</v>
      </c>
      <c r="F28" s="178">
        <f t="shared" si="14"/>
        <v>0</v>
      </c>
      <c r="G28" s="176">
        <v>0</v>
      </c>
      <c r="H28" s="180">
        <v>0</v>
      </c>
      <c r="I28" s="184">
        <f>FACTORS!$C$17*D28/453.592</f>
        <v>0</v>
      </c>
      <c r="J28" s="181">
        <f>FACTORS!$D$17*D28/453.592</f>
        <v>0</v>
      </c>
      <c r="K28" s="246">
        <f>FACTORS!$E$17*D28/453.592</f>
        <v>0</v>
      </c>
      <c r="L28" s="181">
        <f>FACTORS!$F$17*D28/453.592</f>
        <v>0</v>
      </c>
      <c r="M28" s="181">
        <f>FACTORS!$G$17*D28/453.592</f>
        <v>0</v>
      </c>
      <c r="N28" s="178">
        <f>FACTORS!$H$17*D28/453.592</f>
        <v>0</v>
      </c>
      <c r="O28" s="181">
        <f>FACTORS!$I$17*D28/453.592</f>
        <v>0</v>
      </c>
      <c r="P28" s="181">
        <f>FACTORS!$J$17*D28/453.592</f>
        <v>0</v>
      </c>
      <c r="Q28" s="191">
        <f>FACTORS!$K$17*D28/453.592</f>
        <v>0</v>
      </c>
      <c r="R28" s="184">
        <f t="shared" si="15"/>
        <v>0</v>
      </c>
      <c r="S28" s="181">
        <f t="shared" si="15"/>
        <v>0</v>
      </c>
      <c r="T28" s="181">
        <f t="shared" si="15"/>
        <v>0</v>
      </c>
      <c r="U28" s="181">
        <f t="shared" si="15"/>
        <v>0</v>
      </c>
      <c r="V28" s="181">
        <f t="shared" si="15"/>
        <v>0</v>
      </c>
      <c r="W28" s="181">
        <f t="shared" si="15"/>
        <v>0</v>
      </c>
      <c r="X28" s="181">
        <f t="shared" si="16"/>
        <v>0</v>
      </c>
      <c r="Y28" s="181">
        <f t="shared" si="17"/>
        <v>0</v>
      </c>
      <c r="Z28" s="182">
        <f t="shared" si="18"/>
        <v>0</v>
      </c>
      <c r="AA28" s="256"/>
      <c r="AB28" s="256"/>
      <c r="AC28" s="256"/>
      <c r="AD28" s="256"/>
      <c r="AE28" s="256"/>
      <c r="AF28" s="256"/>
      <c r="AG28" s="256"/>
      <c r="AH28" s="256"/>
      <c r="AI28" s="256"/>
      <c r="AJ28" s="256"/>
      <c r="AK28" s="256"/>
      <c r="AL28" s="256"/>
      <c r="AM28" s="256"/>
      <c r="AN28" s="256"/>
      <c r="AO28" s="256"/>
      <c r="AP28" s="256"/>
      <c r="AQ28" s="256"/>
      <c r="AR28" s="256"/>
    </row>
    <row r="29" spans="1:44" s="183" customFormat="1" ht="12.75" customHeight="1" x14ac:dyDescent="0.2">
      <c r="A29" s="174" t="s">
        <v>63</v>
      </c>
      <c r="B29" s="175" t="s">
        <v>118</v>
      </c>
      <c r="C29" s="175"/>
      <c r="D29" s="176">
        <v>0</v>
      </c>
      <c r="E29" s="177">
        <f>FACTORS!$I$2*D29</f>
        <v>0</v>
      </c>
      <c r="F29" s="178">
        <f t="shared" si="14"/>
        <v>0</v>
      </c>
      <c r="G29" s="179">
        <v>0</v>
      </c>
      <c r="H29" s="180">
        <v>0</v>
      </c>
      <c r="I29" s="184">
        <f>FACTORS!$C$17*D29/453.592</f>
        <v>0</v>
      </c>
      <c r="J29" s="181">
        <f>FACTORS!$D$17*D29/453.592</f>
        <v>0</v>
      </c>
      <c r="K29" s="246">
        <f>FACTORS!$E$17*D29/453.592</f>
        <v>0</v>
      </c>
      <c r="L29" s="181">
        <f>FACTORS!$F$17*D29/453.592</f>
        <v>0</v>
      </c>
      <c r="M29" s="181">
        <f>FACTORS!$G$17*D29/453.592</f>
        <v>0</v>
      </c>
      <c r="N29" s="178">
        <f>FACTORS!$H$17*D29/453.592</f>
        <v>0</v>
      </c>
      <c r="O29" s="181">
        <f>FACTORS!$I$17*D29/453.592</f>
        <v>0</v>
      </c>
      <c r="P29" s="181">
        <f>FACTORS!$J$17*D29/453.592</f>
        <v>0</v>
      </c>
      <c r="Q29" s="191">
        <f>FACTORS!$K$17*D29/453.592</f>
        <v>0</v>
      </c>
      <c r="R29" s="184">
        <f t="shared" si="15"/>
        <v>0</v>
      </c>
      <c r="S29" s="181">
        <f t="shared" si="15"/>
        <v>0</v>
      </c>
      <c r="T29" s="181">
        <f t="shared" si="15"/>
        <v>0</v>
      </c>
      <c r="U29" s="181">
        <f t="shared" si="15"/>
        <v>0</v>
      </c>
      <c r="V29" s="181">
        <f t="shared" si="15"/>
        <v>0</v>
      </c>
      <c r="W29" s="181">
        <f t="shared" si="15"/>
        <v>0</v>
      </c>
      <c r="X29" s="181">
        <f t="shared" si="16"/>
        <v>0</v>
      </c>
      <c r="Y29" s="181">
        <f t="shared" si="17"/>
        <v>0</v>
      </c>
      <c r="Z29" s="182">
        <f t="shared" si="18"/>
        <v>0</v>
      </c>
      <c r="AA29" s="256"/>
      <c r="AB29" s="256"/>
      <c r="AC29" s="256"/>
      <c r="AD29" s="256"/>
      <c r="AE29" s="256"/>
      <c r="AF29" s="256"/>
      <c r="AG29" s="256"/>
      <c r="AH29" s="256"/>
      <c r="AI29" s="256"/>
      <c r="AJ29" s="256"/>
      <c r="AK29" s="256"/>
      <c r="AL29" s="256"/>
      <c r="AM29" s="256"/>
      <c r="AN29" s="256"/>
      <c r="AO29" s="256"/>
      <c r="AP29" s="256"/>
      <c r="AQ29" s="256"/>
      <c r="AR29" s="256"/>
    </row>
    <row r="30" spans="1:44" s="183" customFormat="1" ht="12.75" customHeight="1" x14ac:dyDescent="0.2">
      <c r="A30" s="174" t="s">
        <v>62</v>
      </c>
      <c r="B30" s="175" t="s">
        <v>117</v>
      </c>
      <c r="C30" s="175"/>
      <c r="D30" s="176">
        <v>0</v>
      </c>
      <c r="E30" s="177">
        <f>FACTORS!$I$2*D30</f>
        <v>0</v>
      </c>
      <c r="F30" s="178">
        <f t="shared" si="14"/>
        <v>0</v>
      </c>
      <c r="G30" s="179">
        <v>0</v>
      </c>
      <c r="H30" s="180">
        <v>0</v>
      </c>
      <c r="I30" s="184">
        <f>FACTORS!$C$17*D30/453.592</f>
        <v>0</v>
      </c>
      <c r="J30" s="181">
        <f>FACTORS!$D$17*D30/453.592</f>
        <v>0</v>
      </c>
      <c r="K30" s="246">
        <f>FACTORS!$E$17*D30/453.592</f>
        <v>0</v>
      </c>
      <c r="L30" s="181">
        <f>FACTORS!$F$17*D30/453.592</f>
        <v>0</v>
      </c>
      <c r="M30" s="181">
        <f>FACTORS!$G$17*D30/453.592</f>
        <v>0</v>
      </c>
      <c r="N30" s="178">
        <f>FACTORS!$H$17*D30/453.592</f>
        <v>0</v>
      </c>
      <c r="O30" s="181">
        <f>FACTORS!$I$17*D30/453.592</f>
        <v>0</v>
      </c>
      <c r="P30" s="181">
        <f>FACTORS!$J$17*D30/453.592</f>
        <v>0</v>
      </c>
      <c r="Q30" s="191">
        <f>FACTORS!$K$17*D30/453.592</f>
        <v>0</v>
      </c>
      <c r="R30" s="184">
        <f t="shared" si="15"/>
        <v>0</v>
      </c>
      <c r="S30" s="181">
        <f t="shared" si="15"/>
        <v>0</v>
      </c>
      <c r="T30" s="181">
        <f t="shared" si="15"/>
        <v>0</v>
      </c>
      <c r="U30" s="181">
        <f t="shared" si="15"/>
        <v>0</v>
      </c>
      <c r="V30" s="181">
        <f t="shared" si="15"/>
        <v>0</v>
      </c>
      <c r="W30" s="181">
        <f t="shared" si="15"/>
        <v>0</v>
      </c>
      <c r="X30" s="181">
        <f t="shared" si="16"/>
        <v>0</v>
      </c>
      <c r="Y30" s="181">
        <f t="shared" si="17"/>
        <v>0</v>
      </c>
      <c r="Z30" s="182">
        <f t="shared" si="18"/>
        <v>0</v>
      </c>
      <c r="AA30" s="256"/>
      <c r="AB30" s="256"/>
      <c r="AC30" s="256"/>
      <c r="AD30" s="256"/>
      <c r="AE30" s="256"/>
      <c r="AF30" s="256"/>
      <c r="AG30" s="256"/>
      <c r="AH30" s="256"/>
      <c r="AI30" s="256"/>
      <c r="AJ30" s="256"/>
      <c r="AK30" s="256"/>
      <c r="AL30" s="256"/>
      <c r="AM30" s="256"/>
      <c r="AN30" s="256"/>
      <c r="AO30" s="256"/>
      <c r="AP30" s="256"/>
      <c r="AQ30" s="256"/>
      <c r="AR30" s="256"/>
    </row>
    <row r="31" spans="1:44" s="183" customFormat="1" x14ac:dyDescent="0.2">
      <c r="A31" s="174"/>
      <c r="B31" s="175" t="s">
        <v>115</v>
      </c>
      <c r="C31" s="175"/>
      <c r="D31" s="176">
        <v>0</v>
      </c>
      <c r="E31" s="177">
        <f>FACTORS!$I$2*D31</f>
        <v>0</v>
      </c>
      <c r="F31" s="178">
        <f t="shared" si="14"/>
        <v>0</v>
      </c>
      <c r="G31" s="176">
        <v>0</v>
      </c>
      <c r="H31" s="180">
        <v>0</v>
      </c>
      <c r="I31" s="184">
        <f>FACTORS!$C$17*D31/453.592</f>
        <v>0</v>
      </c>
      <c r="J31" s="181">
        <f>FACTORS!$D$17*D31/453.592</f>
        <v>0</v>
      </c>
      <c r="K31" s="246">
        <f>FACTORS!$E$17*D31/453.592</f>
        <v>0</v>
      </c>
      <c r="L31" s="181">
        <f>FACTORS!$F$17*D31/453.592</f>
        <v>0</v>
      </c>
      <c r="M31" s="181">
        <f>FACTORS!$G$17*D31/453.592</f>
        <v>0</v>
      </c>
      <c r="N31" s="178">
        <f>FACTORS!$H$17*D31/453.592</f>
        <v>0</v>
      </c>
      <c r="O31" s="181">
        <f>FACTORS!$I$17*D31/453.592</f>
        <v>0</v>
      </c>
      <c r="P31" s="181">
        <f>FACTORS!$J$17*D31/453.592</f>
        <v>0</v>
      </c>
      <c r="Q31" s="191">
        <f>FACTORS!$K$17*D31/453.592</f>
        <v>0</v>
      </c>
      <c r="R31" s="184">
        <f t="shared" si="15"/>
        <v>0</v>
      </c>
      <c r="S31" s="181">
        <f t="shared" si="15"/>
        <v>0</v>
      </c>
      <c r="T31" s="181">
        <f t="shared" si="15"/>
        <v>0</v>
      </c>
      <c r="U31" s="181">
        <f t="shared" si="15"/>
        <v>0</v>
      </c>
      <c r="V31" s="181">
        <f t="shared" si="15"/>
        <v>0</v>
      </c>
      <c r="W31" s="181">
        <f t="shared" si="15"/>
        <v>0</v>
      </c>
      <c r="X31" s="181">
        <f t="shared" si="16"/>
        <v>0</v>
      </c>
      <c r="Y31" s="181">
        <f t="shared" si="17"/>
        <v>0</v>
      </c>
      <c r="Z31" s="182">
        <f t="shared" si="18"/>
        <v>0</v>
      </c>
      <c r="AA31" s="256"/>
      <c r="AB31" s="256"/>
      <c r="AC31" s="256"/>
      <c r="AD31" s="256"/>
      <c r="AE31" s="256"/>
      <c r="AF31" s="256"/>
      <c r="AG31" s="256"/>
      <c r="AH31" s="256"/>
      <c r="AI31" s="256"/>
      <c r="AJ31" s="256"/>
      <c r="AK31" s="256"/>
      <c r="AL31" s="256"/>
      <c r="AM31" s="256"/>
      <c r="AN31" s="256"/>
      <c r="AO31" s="256"/>
      <c r="AP31" s="256"/>
      <c r="AQ31" s="256"/>
      <c r="AR31" s="256"/>
    </row>
    <row r="32" spans="1:44" s="183" customFormat="1" ht="12.75" customHeight="1" x14ac:dyDescent="0.2">
      <c r="A32" s="339" t="s">
        <v>64</v>
      </c>
      <c r="B32" s="340" t="s">
        <v>119</v>
      </c>
      <c r="C32" s="340"/>
      <c r="D32" s="341">
        <v>0</v>
      </c>
      <c r="E32" s="342">
        <f>FACTORS!$I$2*D32</f>
        <v>0</v>
      </c>
      <c r="F32" s="343">
        <f t="shared" si="14"/>
        <v>0</v>
      </c>
      <c r="G32" s="344">
        <v>0</v>
      </c>
      <c r="H32" s="345">
        <v>0</v>
      </c>
      <c r="I32" s="346">
        <f>FACTORS!$C$17*D32/453.592</f>
        <v>0</v>
      </c>
      <c r="J32" s="347">
        <f>FACTORS!$D$17*D32/453.592</f>
        <v>0</v>
      </c>
      <c r="K32" s="427">
        <f>FACTORS!$E$17*D32/453.592</f>
        <v>0</v>
      </c>
      <c r="L32" s="347">
        <f>FACTORS!$F$17*D32/453.592</f>
        <v>0</v>
      </c>
      <c r="M32" s="347">
        <f>FACTORS!$G$17*D32/453.592</f>
        <v>0</v>
      </c>
      <c r="N32" s="343">
        <f>FACTORS!$H$17*D32/453.592</f>
        <v>0</v>
      </c>
      <c r="O32" s="347">
        <f>FACTORS!$I$17*D32/453.592</f>
        <v>0</v>
      </c>
      <c r="P32" s="347">
        <f>FACTORS!$J$17*D32/453.592</f>
        <v>0</v>
      </c>
      <c r="Q32" s="348">
        <f>FACTORS!$K$17*D32/453.592</f>
        <v>0</v>
      </c>
      <c r="R32" s="346">
        <f t="shared" si="15"/>
        <v>0</v>
      </c>
      <c r="S32" s="347">
        <f t="shared" si="15"/>
        <v>0</v>
      </c>
      <c r="T32" s="347">
        <f>IF(K32=0,0,K32*($F32/($E32*24))*$G32*$H32/2000)</f>
        <v>0</v>
      </c>
      <c r="U32" s="347">
        <f t="shared" si="15"/>
        <v>0</v>
      </c>
      <c r="V32" s="347">
        <f t="shared" si="15"/>
        <v>0</v>
      </c>
      <c r="W32" s="347">
        <f t="shared" si="15"/>
        <v>0</v>
      </c>
      <c r="X32" s="347">
        <f t="shared" si="16"/>
        <v>0</v>
      </c>
      <c r="Y32" s="347">
        <f t="shared" si="17"/>
        <v>0</v>
      </c>
      <c r="Z32" s="349">
        <f t="shared" si="18"/>
        <v>0</v>
      </c>
      <c r="AA32" s="256"/>
      <c r="AB32" s="256"/>
      <c r="AC32" s="256"/>
      <c r="AD32" s="256"/>
      <c r="AE32" s="256"/>
      <c r="AF32" s="256"/>
      <c r="AG32" s="256"/>
      <c r="AH32" s="256"/>
      <c r="AI32" s="256"/>
      <c r="AJ32" s="256"/>
      <c r="AK32" s="256"/>
      <c r="AL32" s="256"/>
      <c r="AM32" s="256"/>
      <c r="AN32" s="256"/>
      <c r="AO32" s="256"/>
      <c r="AP32" s="256"/>
      <c r="AQ32" s="256"/>
      <c r="AR32" s="256"/>
    </row>
    <row r="33" spans="1:44" ht="27.75" customHeight="1" x14ac:dyDescent="0.2">
      <c r="A33" s="361" t="s">
        <v>184</v>
      </c>
      <c r="B33" s="363" t="s">
        <v>107</v>
      </c>
      <c r="C33" s="111"/>
      <c r="D33" s="122"/>
      <c r="E33" s="42" t="s">
        <v>53</v>
      </c>
      <c r="F33" s="43" t="s">
        <v>54</v>
      </c>
      <c r="G33" s="50"/>
      <c r="H33" s="119"/>
      <c r="I33" s="158"/>
      <c r="J33" s="387"/>
      <c r="K33" s="416"/>
      <c r="L33" s="153"/>
      <c r="M33" s="153"/>
      <c r="N33" s="73"/>
      <c r="O33" s="153"/>
      <c r="P33" s="153"/>
      <c r="Q33" s="120"/>
      <c r="R33" s="158"/>
      <c r="S33" s="387"/>
      <c r="T33" s="387"/>
      <c r="U33" s="153"/>
      <c r="V33" s="153"/>
      <c r="W33" s="153"/>
      <c r="X33" s="153"/>
      <c r="Y33" s="153"/>
      <c r="Z33" s="322"/>
    </row>
    <row r="34" spans="1:44" ht="12.75" customHeight="1" x14ac:dyDescent="0.2">
      <c r="A34" s="330"/>
      <c r="B34" s="364" t="s">
        <v>148</v>
      </c>
      <c r="C34" s="333"/>
      <c r="D34" s="334" t="s">
        <v>132</v>
      </c>
      <c r="E34" s="74"/>
      <c r="F34" s="74"/>
      <c r="G34" s="335"/>
      <c r="H34" s="336"/>
      <c r="I34" s="337"/>
      <c r="J34" s="423"/>
      <c r="K34" s="424"/>
      <c r="L34" s="68"/>
      <c r="M34" s="68"/>
      <c r="N34" s="329"/>
      <c r="O34" s="68"/>
      <c r="P34" s="68"/>
      <c r="Q34" s="338"/>
      <c r="R34" s="337"/>
      <c r="S34" s="423"/>
      <c r="T34" s="423"/>
      <c r="U34" s="68"/>
      <c r="V34" s="68"/>
      <c r="W34" s="68"/>
      <c r="X34" s="68"/>
      <c r="Y34" s="68"/>
      <c r="Z34" s="69"/>
    </row>
    <row r="35" spans="1:44" ht="12.75" customHeight="1" x14ac:dyDescent="0.2">
      <c r="A35" s="330"/>
      <c r="B35" s="363" t="s">
        <v>160</v>
      </c>
      <c r="C35" s="157"/>
      <c r="D35" s="122" t="s">
        <v>100</v>
      </c>
      <c r="E35" s="74"/>
      <c r="F35" s="74"/>
      <c r="G35" s="70" t="s">
        <v>60</v>
      </c>
      <c r="H35" s="119" t="s">
        <v>71</v>
      </c>
      <c r="I35" s="158"/>
      <c r="J35" s="387"/>
      <c r="K35" s="416"/>
      <c r="L35" s="153"/>
      <c r="M35" s="153"/>
      <c r="N35" s="73"/>
      <c r="O35" s="153"/>
      <c r="P35" s="153"/>
      <c r="Q35" s="120"/>
      <c r="R35" s="319"/>
      <c r="S35" s="423"/>
      <c r="T35" s="424"/>
      <c r="U35" s="68"/>
      <c r="V35" s="68"/>
      <c r="W35" s="68"/>
      <c r="X35" s="68"/>
      <c r="Y35" s="68"/>
      <c r="Z35" s="69"/>
    </row>
    <row r="36" spans="1:44" s="183" customFormat="1" ht="12.75" customHeight="1" x14ac:dyDescent="0.2">
      <c r="A36" s="174"/>
      <c r="B36" s="242" t="s">
        <v>153</v>
      </c>
      <c r="C36" s="323"/>
      <c r="D36" s="244"/>
      <c r="E36" s="176">
        <v>0</v>
      </c>
      <c r="F36" s="245">
        <f>E36*24</f>
        <v>0</v>
      </c>
      <c r="G36" s="176">
        <v>0</v>
      </c>
      <c r="H36" s="180">
        <v>0</v>
      </c>
      <c r="I36" s="184">
        <f>IFERROR(FACTORS!$C$34*E36,"--")</f>
        <v>0</v>
      </c>
      <c r="J36" s="181">
        <f>IFERROR(FACTORS!$D$34*E36,"--")</f>
        <v>0</v>
      </c>
      <c r="K36" s="246">
        <f>IFERROR(FACTORS!$E$34*E36,"--")</f>
        <v>0</v>
      </c>
      <c r="L36" s="178">
        <f>IFERROR(FACTORS!$F$34*E36,"--")</f>
        <v>0</v>
      </c>
      <c r="M36" s="178">
        <f>IFERROR(FACTORS!$G$34*E36,"--")</f>
        <v>0</v>
      </c>
      <c r="N36" s="178">
        <f>IFERROR(FACTORS!$H$34*E36,"--")</f>
        <v>0</v>
      </c>
      <c r="O36" s="181" t="str">
        <f>IFERROR(FACTORS!$I$34*E36,"--")</f>
        <v>--</v>
      </c>
      <c r="P36" s="181">
        <f>IFERROR(FACTORS!$J$34*E36,"--")</f>
        <v>0</v>
      </c>
      <c r="Q36" s="191">
        <f>IFERROR(FACTORS!$K$34*E36,"--")</f>
        <v>0</v>
      </c>
      <c r="R36" s="331">
        <f t="shared" ref="R36:S42" si="19">IFERROR((I36*$G36*$H36)/2000, "")</f>
        <v>0</v>
      </c>
      <c r="S36" s="332">
        <f>IFERROR((J36*$G36*$H36)/2000, "")</f>
        <v>0</v>
      </c>
      <c r="T36" s="317">
        <f t="shared" ref="T36:W43" si="20">IFERROR((K36*$G36*$H36)/2000, "")</f>
        <v>0</v>
      </c>
      <c r="U36" s="317">
        <f t="shared" si="20"/>
        <v>0</v>
      </c>
      <c r="V36" s="317">
        <f t="shared" si="20"/>
        <v>0</v>
      </c>
      <c r="W36" s="317">
        <f t="shared" si="20"/>
        <v>0</v>
      </c>
      <c r="X36" s="317" t="str">
        <f t="shared" ref="X36:X43" si="21">IFERROR((O36*$G36*$H36)/2000, "--")</f>
        <v>--</v>
      </c>
      <c r="Y36" s="317">
        <f t="shared" ref="Y36:Z43" si="22">IFERROR((P36*$G36*$H36)/2000, "")</f>
        <v>0</v>
      </c>
      <c r="Z36" s="318">
        <f t="shared" si="22"/>
        <v>0</v>
      </c>
      <c r="AA36" s="256"/>
      <c r="AB36" s="256"/>
      <c r="AC36" s="256"/>
      <c r="AD36" s="256"/>
      <c r="AE36" s="256"/>
      <c r="AF36" s="256"/>
      <c r="AG36" s="256"/>
      <c r="AH36" s="256"/>
      <c r="AI36" s="256"/>
      <c r="AJ36" s="256"/>
      <c r="AK36" s="256"/>
      <c r="AL36" s="256"/>
      <c r="AM36" s="256"/>
      <c r="AN36" s="256"/>
      <c r="AO36" s="256"/>
      <c r="AP36" s="256"/>
      <c r="AQ36" s="256"/>
      <c r="AR36" s="256"/>
    </row>
    <row r="37" spans="1:44" s="183" customFormat="1" ht="12.75" customHeight="1" x14ac:dyDescent="0.2">
      <c r="A37" s="174"/>
      <c r="B37" s="242" t="s">
        <v>87</v>
      </c>
      <c r="C37" s="243"/>
      <c r="D37" s="244"/>
      <c r="E37" s="176">
        <v>0</v>
      </c>
      <c r="F37" s="245">
        <f>E37*24</f>
        <v>0</v>
      </c>
      <c r="G37" s="176">
        <v>0</v>
      </c>
      <c r="H37" s="180">
        <v>0</v>
      </c>
      <c r="I37" s="184">
        <f>IFERROR(FACTORS!$C$35*E37,"--")</f>
        <v>0</v>
      </c>
      <c r="J37" s="181">
        <f>IFERROR(FACTORS!$D$35*E37,"--")</f>
        <v>0</v>
      </c>
      <c r="K37" s="246">
        <f>IFERROR(FACTORS!$E$35*E37,"--")</f>
        <v>0</v>
      </c>
      <c r="L37" s="178">
        <f>IFERROR(FACTORS!$F$35*E37,"--")</f>
        <v>0</v>
      </c>
      <c r="M37" s="178">
        <f>IFERROR(FACTORS!$G$35*E37,"--")</f>
        <v>0</v>
      </c>
      <c r="N37" s="178">
        <f>IFERROR(FACTORS!$H$35*E37,"--")</f>
        <v>0</v>
      </c>
      <c r="O37" s="181" t="str">
        <f>IFERROR(FACTORS!$I$35*E37,"--")</f>
        <v>--</v>
      </c>
      <c r="P37" s="181">
        <f>IFERROR(FACTORS!$J$35*E37,"--")</f>
        <v>0</v>
      </c>
      <c r="Q37" s="191">
        <f>IFERROR(FACTORS!$K$35*E37,"--")</f>
        <v>0</v>
      </c>
      <c r="R37" s="184">
        <f t="shared" si="19"/>
        <v>0</v>
      </c>
      <c r="S37" s="181">
        <f t="shared" si="19"/>
        <v>0</v>
      </c>
      <c r="T37" s="246">
        <f t="shared" si="20"/>
        <v>0</v>
      </c>
      <c r="U37" s="246">
        <f t="shared" si="20"/>
        <v>0</v>
      </c>
      <c r="V37" s="246">
        <f t="shared" si="20"/>
        <v>0</v>
      </c>
      <c r="W37" s="246">
        <f t="shared" si="20"/>
        <v>0</v>
      </c>
      <c r="X37" s="246" t="str">
        <f t="shared" si="21"/>
        <v>--</v>
      </c>
      <c r="Y37" s="246">
        <f t="shared" si="22"/>
        <v>0</v>
      </c>
      <c r="Z37" s="182">
        <f t="shared" si="22"/>
        <v>0</v>
      </c>
      <c r="AA37" s="256"/>
      <c r="AB37" s="256"/>
      <c r="AC37" s="256"/>
      <c r="AD37" s="256"/>
      <c r="AE37" s="256"/>
      <c r="AF37" s="256"/>
      <c r="AG37" s="256"/>
      <c r="AH37" s="256"/>
      <c r="AI37" s="256"/>
      <c r="AJ37" s="256"/>
      <c r="AK37" s="256"/>
      <c r="AL37" s="256"/>
      <c r="AM37" s="256"/>
      <c r="AN37" s="256"/>
      <c r="AO37" s="256"/>
      <c r="AP37" s="256"/>
      <c r="AQ37" s="256"/>
      <c r="AR37" s="256"/>
    </row>
    <row r="38" spans="1:44" s="183" customFormat="1" ht="12.75" customHeight="1" x14ac:dyDescent="0.2">
      <c r="A38" s="174"/>
      <c r="B38" s="242" t="s">
        <v>102</v>
      </c>
      <c r="C38" s="243"/>
      <c r="D38" s="244"/>
      <c r="E38" s="176">
        <v>0</v>
      </c>
      <c r="F38" s="245">
        <f t="shared" ref="F38:F41" si="23">E38*24</f>
        <v>0</v>
      </c>
      <c r="G38" s="176">
        <v>0</v>
      </c>
      <c r="H38" s="180">
        <v>0</v>
      </c>
      <c r="I38" s="184">
        <f>IFERROR(FACTORS!$C$36*E38,"--")</f>
        <v>0</v>
      </c>
      <c r="J38" s="181">
        <f>IFERROR(FACTORS!$D$36*E38,"--")</f>
        <v>0</v>
      </c>
      <c r="K38" s="246">
        <f>IFERROR(FACTORS!$E$36*E38,"--")</f>
        <v>0</v>
      </c>
      <c r="L38" s="178">
        <f>IFERROR(FACTORS!$F$36*E38,"--")</f>
        <v>0</v>
      </c>
      <c r="M38" s="178">
        <f>IFERROR(FACTORS!$G$36*E38,"--")</f>
        <v>0</v>
      </c>
      <c r="N38" s="178">
        <f>IFERROR(FACTORS!$H$36*E38,"--")</f>
        <v>0</v>
      </c>
      <c r="O38" s="181" t="str">
        <f>IFERROR(FACTORS!$I$36*E38,"--")</f>
        <v>--</v>
      </c>
      <c r="P38" s="181">
        <f>IFERROR(FACTORS!$J$36*E38,"--")</f>
        <v>0</v>
      </c>
      <c r="Q38" s="191">
        <f>IFERROR(FACTORS!$K$36*E38,"--")</f>
        <v>0</v>
      </c>
      <c r="R38" s="184">
        <f t="shared" si="19"/>
        <v>0</v>
      </c>
      <c r="S38" s="181">
        <f t="shared" si="19"/>
        <v>0</v>
      </c>
      <c r="T38" s="246">
        <f t="shared" si="20"/>
        <v>0</v>
      </c>
      <c r="U38" s="246">
        <f t="shared" si="20"/>
        <v>0</v>
      </c>
      <c r="V38" s="246">
        <f t="shared" si="20"/>
        <v>0</v>
      </c>
      <c r="W38" s="246">
        <f t="shared" si="20"/>
        <v>0</v>
      </c>
      <c r="X38" s="246" t="str">
        <f t="shared" si="21"/>
        <v>--</v>
      </c>
      <c r="Y38" s="246">
        <f t="shared" si="22"/>
        <v>0</v>
      </c>
      <c r="Z38" s="182">
        <f t="shared" si="22"/>
        <v>0</v>
      </c>
      <c r="AA38" s="256"/>
      <c r="AB38" s="256"/>
      <c r="AC38" s="256"/>
      <c r="AD38" s="256"/>
      <c r="AE38" s="256"/>
      <c r="AF38" s="256"/>
      <c r="AG38" s="256"/>
      <c r="AH38" s="256"/>
      <c r="AI38" s="256"/>
      <c r="AJ38" s="256"/>
      <c r="AK38" s="256"/>
      <c r="AL38" s="256"/>
      <c r="AM38" s="256"/>
      <c r="AN38" s="256"/>
      <c r="AO38" s="256"/>
      <c r="AP38" s="256"/>
      <c r="AQ38" s="256"/>
      <c r="AR38" s="256"/>
    </row>
    <row r="39" spans="1:44" s="183" customFormat="1" ht="12.75" customHeight="1" x14ac:dyDescent="0.2">
      <c r="A39" s="174"/>
      <c r="B39" s="242" t="s">
        <v>154</v>
      </c>
      <c r="C39" s="243"/>
      <c r="D39" s="244"/>
      <c r="E39" s="176">
        <v>0</v>
      </c>
      <c r="F39" s="245">
        <f t="shared" si="23"/>
        <v>0</v>
      </c>
      <c r="G39" s="176">
        <v>0</v>
      </c>
      <c r="H39" s="180">
        <v>0</v>
      </c>
      <c r="I39" s="184">
        <f>IFERROR(FACTORS!$C$37*E39,"--")</f>
        <v>0</v>
      </c>
      <c r="J39" s="181">
        <f>IFERROR(FACTORS!$D$37*E39,"--")</f>
        <v>0</v>
      </c>
      <c r="K39" s="246">
        <f>IFERROR(FACTORS!$E$37*E39,"--")</f>
        <v>0</v>
      </c>
      <c r="L39" s="178">
        <f>IFERROR(FACTORS!$F$37*E39,"--")</f>
        <v>0</v>
      </c>
      <c r="M39" s="178">
        <f>IFERROR(FACTORS!$G$37*E39,"--")</f>
        <v>0</v>
      </c>
      <c r="N39" s="178">
        <f>IFERROR(FACTORS!$H$37*E39,"--")</f>
        <v>0</v>
      </c>
      <c r="O39" s="181" t="str">
        <f>IFERROR(FACTORS!$I$37*E39,"--")</f>
        <v>--</v>
      </c>
      <c r="P39" s="181">
        <f>IFERROR(FACTORS!$J$37*E39,"--")</f>
        <v>0</v>
      </c>
      <c r="Q39" s="191">
        <f>IFERROR(FACTORS!$K$37*E39,"--")</f>
        <v>0</v>
      </c>
      <c r="R39" s="184">
        <f t="shared" si="19"/>
        <v>0</v>
      </c>
      <c r="S39" s="181">
        <f t="shared" si="19"/>
        <v>0</v>
      </c>
      <c r="T39" s="246">
        <f t="shared" si="20"/>
        <v>0</v>
      </c>
      <c r="U39" s="246">
        <f t="shared" si="20"/>
        <v>0</v>
      </c>
      <c r="V39" s="246">
        <f t="shared" si="20"/>
        <v>0</v>
      </c>
      <c r="W39" s="246">
        <f t="shared" si="20"/>
        <v>0</v>
      </c>
      <c r="X39" s="246" t="str">
        <f t="shared" si="21"/>
        <v>--</v>
      </c>
      <c r="Y39" s="246">
        <f t="shared" si="22"/>
        <v>0</v>
      </c>
      <c r="Z39" s="182">
        <f t="shared" si="22"/>
        <v>0</v>
      </c>
      <c r="AA39" s="256"/>
      <c r="AB39" s="256"/>
      <c r="AC39" s="256"/>
      <c r="AD39" s="256"/>
      <c r="AE39" s="256"/>
      <c r="AF39" s="256"/>
      <c r="AG39" s="256"/>
      <c r="AH39" s="256"/>
      <c r="AI39" s="256"/>
      <c r="AJ39" s="256"/>
      <c r="AK39" s="256"/>
      <c r="AL39" s="256"/>
      <c r="AM39" s="256"/>
      <c r="AN39" s="256"/>
      <c r="AO39" s="256"/>
      <c r="AP39" s="256"/>
      <c r="AQ39" s="256"/>
      <c r="AR39" s="256"/>
    </row>
    <row r="40" spans="1:44" s="183" customFormat="1" ht="12.75" customHeight="1" x14ac:dyDescent="0.2">
      <c r="A40" s="174"/>
      <c r="B40" s="242" t="s">
        <v>89</v>
      </c>
      <c r="C40" s="243"/>
      <c r="D40" s="244"/>
      <c r="E40" s="176">
        <v>0</v>
      </c>
      <c r="F40" s="245">
        <f t="shared" si="23"/>
        <v>0</v>
      </c>
      <c r="G40" s="176">
        <v>0</v>
      </c>
      <c r="H40" s="180">
        <v>0</v>
      </c>
      <c r="I40" s="184">
        <f>IFERROR(FACTORS!$C$38*E40,"--")</f>
        <v>0</v>
      </c>
      <c r="J40" s="181">
        <f>IFERROR(FACTORS!$D$38*E40,"--")</f>
        <v>0</v>
      </c>
      <c r="K40" s="246">
        <f>IFERROR(FACTORS!$E$38*E40,"--")</f>
        <v>0</v>
      </c>
      <c r="L40" s="178">
        <f>IFERROR(FACTORS!$F$38*E40,"--")</f>
        <v>0</v>
      </c>
      <c r="M40" s="178">
        <f>IFERROR(FACTORS!$G$38*E40,"--")</f>
        <v>0</v>
      </c>
      <c r="N40" s="178">
        <f>IFERROR(FACTORS!$H$38*E40,"--")</f>
        <v>0</v>
      </c>
      <c r="O40" s="181" t="str">
        <f>IFERROR(FACTORS!$I$38*E40,"--")</f>
        <v>--</v>
      </c>
      <c r="P40" s="181">
        <f>IFERROR(FACTORS!$J$38*E40,"--")</f>
        <v>0</v>
      </c>
      <c r="Q40" s="191">
        <f>IFERROR(FACTORS!$K$38*E40,"--")</f>
        <v>0</v>
      </c>
      <c r="R40" s="184">
        <f t="shared" si="19"/>
        <v>0</v>
      </c>
      <c r="S40" s="181">
        <f t="shared" si="19"/>
        <v>0</v>
      </c>
      <c r="T40" s="246">
        <f t="shared" si="20"/>
        <v>0</v>
      </c>
      <c r="U40" s="246">
        <f t="shared" si="20"/>
        <v>0</v>
      </c>
      <c r="V40" s="246">
        <f t="shared" si="20"/>
        <v>0</v>
      </c>
      <c r="W40" s="246">
        <f t="shared" si="20"/>
        <v>0</v>
      </c>
      <c r="X40" s="246" t="str">
        <f t="shared" si="21"/>
        <v>--</v>
      </c>
      <c r="Y40" s="246">
        <f t="shared" si="22"/>
        <v>0</v>
      </c>
      <c r="Z40" s="182">
        <f t="shared" si="22"/>
        <v>0</v>
      </c>
      <c r="AA40" s="256"/>
      <c r="AB40" s="256"/>
      <c r="AC40" s="256"/>
      <c r="AD40" s="256"/>
      <c r="AE40" s="256"/>
      <c r="AF40" s="256"/>
      <c r="AG40" s="256"/>
      <c r="AH40" s="256"/>
      <c r="AI40" s="256"/>
      <c r="AJ40" s="256"/>
      <c r="AK40" s="256"/>
      <c r="AL40" s="256"/>
      <c r="AM40" s="256"/>
      <c r="AN40" s="256"/>
      <c r="AO40" s="256"/>
      <c r="AP40" s="256"/>
      <c r="AQ40" s="256"/>
      <c r="AR40" s="256"/>
    </row>
    <row r="41" spans="1:44" s="183" customFormat="1" ht="12.75" customHeight="1" x14ac:dyDescent="0.2">
      <c r="A41" s="174"/>
      <c r="B41" s="242" t="s">
        <v>103</v>
      </c>
      <c r="C41" s="243"/>
      <c r="D41" s="244"/>
      <c r="E41" s="176">
        <v>0</v>
      </c>
      <c r="F41" s="245">
        <f t="shared" si="23"/>
        <v>0</v>
      </c>
      <c r="G41" s="176">
        <v>0</v>
      </c>
      <c r="H41" s="180">
        <v>0</v>
      </c>
      <c r="I41" s="184">
        <f>IFERROR(FACTORS!$C$39*E41,"--")</f>
        <v>0</v>
      </c>
      <c r="J41" s="181">
        <f>IFERROR(FACTORS!$D$39*E41,"--")</f>
        <v>0</v>
      </c>
      <c r="K41" s="246">
        <f>IFERROR(FACTORS!$E$39*E41,"--")</f>
        <v>0</v>
      </c>
      <c r="L41" s="178">
        <f>IFERROR(FACTORS!$F$39*E41,"--")</f>
        <v>0</v>
      </c>
      <c r="M41" s="178">
        <f>IFERROR(FACTORS!$G$39*E41,"--")</f>
        <v>0</v>
      </c>
      <c r="N41" s="178">
        <f>IFERROR(FACTORS!$H$39*E41,"--")</f>
        <v>0</v>
      </c>
      <c r="O41" s="181" t="str">
        <f>IFERROR(FACTORS!$I$39*E41,"--")</f>
        <v>--</v>
      </c>
      <c r="P41" s="181">
        <f>IFERROR(FACTORS!$J$39*E41,"--")</f>
        <v>0</v>
      </c>
      <c r="Q41" s="191">
        <f>IFERROR(FACTORS!$K$39*E41,"--")</f>
        <v>0</v>
      </c>
      <c r="R41" s="184">
        <f t="shared" si="19"/>
        <v>0</v>
      </c>
      <c r="S41" s="181">
        <f t="shared" si="19"/>
        <v>0</v>
      </c>
      <c r="T41" s="246">
        <f t="shared" si="20"/>
        <v>0</v>
      </c>
      <c r="U41" s="246">
        <f t="shared" si="20"/>
        <v>0</v>
      </c>
      <c r="V41" s="246">
        <f t="shared" si="20"/>
        <v>0</v>
      </c>
      <c r="W41" s="246">
        <f t="shared" si="20"/>
        <v>0</v>
      </c>
      <c r="X41" s="246" t="str">
        <f t="shared" si="21"/>
        <v>--</v>
      </c>
      <c r="Y41" s="246">
        <f t="shared" si="22"/>
        <v>0</v>
      </c>
      <c r="Z41" s="182">
        <f t="shared" si="22"/>
        <v>0</v>
      </c>
      <c r="AA41" s="256"/>
      <c r="AB41" s="256"/>
      <c r="AC41" s="256"/>
      <c r="AD41" s="256"/>
      <c r="AE41" s="256"/>
      <c r="AF41" s="256"/>
      <c r="AG41" s="256"/>
      <c r="AH41" s="256"/>
      <c r="AI41" s="256"/>
      <c r="AJ41" s="256"/>
      <c r="AK41" s="256"/>
      <c r="AL41" s="256"/>
      <c r="AM41" s="256"/>
      <c r="AN41" s="256"/>
      <c r="AO41" s="256"/>
      <c r="AP41" s="256"/>
      <c r="AQ41" s="256"/>
      <c r="AR41" s="256"/>
    </row>
    <row r="42" spans="1:44" s="183" customFormat="1" ht="12.75" customHeight="1" x14ac:dyDescent="0.2">
      <c r="A42" s="174"/>
      <c r="B42" s="242" t="s">
        <v>91</v>
      </c>
      <c r="C42" s="243"/>
      <c r="D42" s="176">
        <v>0</v>
      </c>
      <c r="E42" s="74"/>
      <c r="F42" s="74"/>
      <c r="G42" s="179">
        <v>0</v>
      </c>
      <c r="H42" s="180">
        <v>0</v>
      </c>
      <c r="I42" s="184">
        <f>(FACTORS!$C$40*D42*2000)/24</f>
        <v>0</v>
      </c>
      <c r="J42" s="181">
        <f>(FACTORS!$D$40*D42*2000)/24</f>
        <v>0</v>
      </c>
      <c r="K42" s="246">
        <f>(FACTORS!$E$40*D42*2000)/24</f>
        <v>0</v>
      </c>
      <c r="L42" s="178">
        <f>(FACTORS!$F$40*D42*2000)/24</f>
        <v>0</v>
      </c>
      <c r="M42" s="178">
        <f>(FACTORS!$G$40*D42*2000)/24</f>
        <v>0</v>
      </c>
      <c r="N42" s="178">
        <f>(FACTORS!$H$40*D42*2000)/24</f>
        <v>0</v>
      </c>
      <c r="O42" s="181" t="str">
        <f>IFERROR((FACTORS!$I$40*D42*2000)/24,"--")</f>
        <v>--</v>
      </c>
      <c r="P42" s="181">
        <f>IFERROR((FACTORS!$J$40*D42*2000)/24,"--")</f>
        <v>0</v>
      </c>
      <c r="Q42" s="191" t="str">
        <f>IFERROR((FACTORS!$K$40*D42*2000)/24,"--")</f>
        <v>--</v>
      </c>
      <c r="R42" s="184">
        <f t="shared" si="19"/>
        <v>0</v>
      </c>
      <c r="S42" s="181">
        <f t="shared" si="19"/>
        <v>0</v>
      </c>
      <c r="T42" s="246">
        <f t="shared" si="20"/>
        <v>0</v>
      </c>
      <c r="U42" s="246">
        <f t="shared" si="20"/>
        <v>0</v>
      </c>
      <c r="V42" s="246">
        <f t="shared" si="20"/>
        <v>0</v>
      </c>
      <c r="W42" s="246">
        <f t="shared" si="20"/>
        <v>0</v>
      </c>
      <c r="X42" s="246" t="str">
        <f t="shared" si="21"/>
        <v>--</v>
      </c>
      <c r="Y42" s="246">
        <f t="shared" si="22"/>
        <v>0</v>
      </c>
      <c r="Z42" s="182" t="str">
        <f t="shared" si="22"/>
        <v/>
      </c>
      <c r="AA42" s="256"/>
      <c r="AB42" s="256"/>
      <c r="AC42" s="256"/>
      <c r="AD42" s="256"/>
      <c r="AE42" s="256"/>
      <c r="AF42" s="256"/>
      <c r="AG42" s="256"/>
      <c r="AH42" s="256"/>
      <c r="AI42" s="256"/>
      <c r="AJ42" s="256"/>
      <c r="AK42" s="256"/>
      <c r="AL42" s="256"/>
      <c r="AM42" s="256"/>
      <c r="AN42" s="256"/>
      <c r="AO42" s="256"/>
      <c r="AP42" s="256"/>
      <c r="AQ42" s="256"/>
      <c r="AR42" s="256"/>
    </row>
    <row r="43" spans="1:44" s="183" customFormat="1" ht="12.75" customHeight="1" x14ac:dyDescent="0.2">
      <c r="A43" s="174"/>
      <c r="B43" s="274" t="s">
        <v>133</v>
      </c>
      <c r="C43" s="242"/>
      <c r="D43" s="185">
        <v>0</v>
      </c>
      <c r="E43" s="74"/>
      <c r="F43" s="74"/>
      <c r="G43" s="185">
        <v>0</v>
      </c>
      <c r="H43" s="186">
        <v>0</v>
      </c>
      <c r="I43" s="187">
        <f>FACTORS!$C$42*D43/453.592</f>
        <v>0</v>
      </c>
      <c r="J43" s="192">
        <f>FACTORS!$D$42*D43/453.592</f>
        <v>0</v>
      </c>
      <c r="K43" s="189">
        <f>FACTORS!$E$42*D43/453.592</f>
        <v>0</v>
      </c>
      <c r="L43" s="192">
        <f>FACTORS!$F$42*D43/453.592</f>
        <v>0</v>
      </c>
      <c r="M43" s="192">
        <f>FACTORS!$G$42*D43/453.592</f>
        <v>0</v>
      </c>
      <c r="N43" s="188">
        <f>FACTORS!$H$42*D43/453.592</f>
        <v>0</v>
      </c>
      <c r="O43" s="192">
        <f>IFERROR(FACTORS!$I$42*D43/453.592, "--")</f>
        <v>0</v>
      </c>
      <c r="P43" s="192">
        <f>FACTORS!$J$42*D43/453.592</f>
        <v>0</v>
      </c>
      <c r="Q43" s="193">
        <f>FACTORS!$K$42*D43/453.592</f>
        <v>0</v>
      </c>
      <c r="R43" s="187">
        <f>IFERROR((I43*$G43*$H43)/2000, "")</f>
        <v>0</v>
      </c>
      <c r="S43" s="192">
        <f>IFERROR((J43*$G43*$H43)/2000, "")</f>
        <v>0</v>
      </c>
      <c r="T43" s="189">
        <f>IFERROR((K43*$G43*$H43)/2000, "")</f>
        <v>0</v>
      </c>
      <c r="U43" s="189">
        <f t="shared" si="20"/>
        <v>0</v>
      </c>
      <c r="V43" s="189">
        <f t="shared" si="20"/>
        <v>0</v>
      </c>
      <c r="W43" s="189">
        <f t="shared" si="20"/>
        <v>0</v>
      </c>
      <c r="X43" s="189">
        <f t="shared" si="21"/>
        <v>0</v>
      </c>
      <c r="Y43" s="189">
        <f t="shared" si="22"/>
        <v>0</v>
      </c>
      <c r="Z43" s="190">
        <f t="shared" si="22"/>
        <v>0</v>
      </c>
      <c r="AA43" s="256"/>
      <c r="AB43" s="256"/>
      <c r="AC43" s="256"/>
      <c r="AD43" s="256"/>
      <c r="AE43" s="256"/>
      <c r="AF43" s="256"/>
      <c r="AG43" s="256"/>
      <c r="AH43" s="256"/>
      <c r="AI43" s="256"/>
      <c r="AJ43" s="256"/>
      <c r="AK43" s="256"/>
      <c r="AL43" s="256"/>
      <c r="AM43" s="256"/>
      <c r="AN43" s="256"/>
      <c r="AO43" s="256"/>
      <c r="AP43" s="256"/>
      <c r="AQ43" s="256"/>
      <c r="AR43" s="256"/>
    </row>
    <row r="44" spans="1:44" s="247" customFormat="1" ht="12.75" customHeight="1" x14ac:dyDescent="0.2">
      <c r="A44" s="286">
        <f>A23</f>
        <v>2028</v>
      </c>
      <c r="B44" s="287" t="s">
        <v>124</v>
      </c>
      <c r="C44" s="431"/>
      <c r="D44" s="281"/>
      <c r="E44" s="281"/>
      <c r="F44" s="282"/>
      <c r="G44" s="281"/>
      <c r="H44" s="283"/>
      <c r="I44" s="380">
        <f t="shared" ref="I44:Z44" si="24">SUM(I26:I43)</f>
        <v>0</v>
      </c>
      <c r="J44" s="428">
        <f t="shared" si="24"/>
        <v>0</v>
      </c>
      <c r="K44" s="429">
        <f t="shared" si="24"/>
        <v>0</v>
      </c>
      <c r="L44" s="284">
        <f t="shared" si="24"/>
        <v>0</v>
      </c>
      <c r="M44" s="284">
        <f t="shared" si="24"/>
        <v>0</v>
      </c>
      <c r="N44" s="284">
        <f t="shared" si="24"/>
        <v>0</v>
      </c>
      <c r="O44" s="284">
        <f t="shared" si="24"/>
        <v>0</v>
      </c>
      <c r="P44" s="284">
        <f t="shared" si="24"/>
        <v>0</v>
      </c>
      <c r="Q44" s="290">
        <f t="shared" si="24"/>
        <v>0</v>
      </c>
      <c r="R44" s="383">
        <f t="shared" si="24"/>
        <v>0</v>
      </c>
      <c r="S44" s="291">
        <f t="shared" si="24"/>
        <v>0</v>
      </c>
      <c r="T44" s="430">
        <f t="shared" si="24"/>
        <v>0</v>
      </c>
      <c r="U44" s="291">
        <f t="shared" si="24"/>
        <v>0</v>
      </c>
      <c r="V44" s="291">
        <f t="shared" si="24"/>
        <v>0</v>
      </c>
      <c r="W44" s="291">
        <f t="shared" si="24"/>
        <v>0</v>
      </c>
      <c r="X44" s="291">
        <f t="shared" si="24"/>
        <v>0</v>
      </c>
      <c r="Y44" s="291">
        <f t="shared" si="24"/>
        <v>0</v>
      </c>
      <c r="Z44" s="292">
        <f t="shared" si="24"/>
        <v>0</v>
      </c>
      <c r="AA44" s="256"/>
      <c r="AB44" s="256"/>
      <c r="AC44" s="256"/>
      <c r="AD44" s="256"/>
      <c r="AE44" s="256"/>
      <c r="AF44" s="256"/>
      <c r="AG44" s="256"/>
      <c r="AH44" s="256"/>
      <c r="AI44" s="256"/>
      <c r="AJ44" s="256"/>
      <c r="AK44" s="256"/>
      <c r="AL44" s="256"/>
      <c r="AM44" s="256"/>
      <c r="AN44" s="256"/>
      <c r="AO44" s="256"/>
      <c r="AP44" s="256"/>
      <c r="AQ44" s="256"/>
      <c r="AR44" s="256"/>
    </row>
    <row r="45" spans="1:44" ht="12.75" customHeight="1" x14ac:dyDescent="0.2">
      <c r="A45" s="77"/>
      <c r="B45" s="13"/>
      <c r="C45" s="13"/>
    </row>
    <row r="46" spans="1:44" ht="12.75" customHeight="1" x14ac:dyDescent="0.2">
      <c r="A46" s="77"/>
      <c r="B46" s="13"/>
      <c r="C46" s="13"/>
    </row>
    <row r="47" spans="1:44" ht="12.75" customHeight="1" x14ac:dyDescent="0.2">
      <c r="A47" s="77"/>
      <c r="B47" s="13"/>
      <c r="C47" s="13"/>
    </row>
    <row r="48" spans="1:44" ht="12.75" customHeight="1" x14ac:dyDescent="0.2">
      <c r="A48" s="2"/>
      <c r="B48" s="2"/>
      <c r="C48" s="2"/>
      <c r="D48" s="2"/>
      <c r="E48" s="2"/>
      <c r="F48" s="2"/>
      <c r="G48" s="2"/>
      <c r="H48" s="2"/>
      <c r="I48" s="2"/>
      <c r="J48" s="2"/>
      <c r="K48" s="2"/>
      <c r="L48" s="2"/>
      <c r="M48" s="2"/>
      <c r="N48" s="2"/>
      <c r="O48" s="2"/>
      <c r="P48" s="2"/>
      <c r="Q48" s="2"/>
      <c r="R48" s="2"/>
      <c r="S48" s="2"/>
      <c r="T48" s="2"/>
      <c r="U48" s="2"/>
      <c r="V48" s="2"/>
      <c r="W48" s="2"/>
      <c r="X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0"/>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16"/>
      <c r="Z52" s="20"/>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16"/>
      <c r="Z53" s="20"/>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16"/>
      <c r="Z54" s="19"/>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17"/>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13"/>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13"/>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13"/>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13"/>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13"/>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13"/>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13"/>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13"/>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13"/>
    </row>
    <row r="65" spans="1:25"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13"/>
    </row>
    <row r="66" spans="1:25"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13"/>
    </row>
    <row r="67" spans="1:25"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13"/>
    </row>
    <row r="68" spans="1:25"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13"/>
    </row>
    <row r="69" spans="1:25"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13"/>
    </row>
    <row r="70" spans="1:25"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13"/>
    </row>
    <row r="71" spans="1:25"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13"/>
    </row>
    <row r="72" spans="1:25"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18"/>
    </row>
    <row r="73" spans="1:25"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18"/>
    </row>
    <row r="74" spans="1:25"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18"/>
    </row>
    <row r="75" spans="1:25"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18"/>
    </row>
    <row r="76" spans="1:25"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13"/>
    </row>
    <row r="77" spans="1:25"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13"/>
    </row>
    <row r="78" spans="1:25"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13"/>
    </row>
    <row r="79" spans="1:25"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13"/>
    </row>
    <row r="80" spans="1:25"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13"/>
    </row>
    <row r="81" spans="1:25"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3"/>
    </row>
    <row r="82" spans="1:25"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row>
    <row r="83" spans="1:25"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row>
    <row r="84" spans="1:25"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row>
    <row r="85" spans="1:25"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row>
    <row r="86" spans="1:25"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row>
    <row r="87" spans="1:25"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row>
    <row r="88" spans="1:25"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row>
    <row r="89" spans="1:25"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row>
    <row r="90" spans="1:25"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row>
    <row r="91" spans="1:25"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row>
    <row r="92" spans="1:25"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row>
    <row r="93" spans="1:25"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row>
    <row r="94" spans="1:25"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row>
    <row r="95" spans="1:25"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row>
    <row r="96" spans="1:25"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18"/>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13"/>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13"/>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13"/>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13"/>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13"/>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13"/>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13"/>
    </row>
    <row r="128" spans="1:25" ht="12.75" customHeight="1" x14ac:dyDescent="0.2">
      <c r="Y128" s="13"/>
    </row>
    <row r="129" spans="25:26" ht="12.75" customHeight="1" x14ac:dyDescent="0.2">
      <c r="Y129" s="18"/>
      <c r="Z129" s="19"/>
    </row>
    <row r="130" spans="25:26" ht="12.75" customHeight="1" x14ac:dyDescent="0.2">
      <c r="Y130" s="21"/>
    </row>
    <row r="131" spans="25:26" ht="12.75" customHeight="1" x14ac:dyDescent="0.2">
      <c r="Y131" s="18"/>
    </row>
    <row r="132" spans="25:26" ht="12.75" customHeight="1" x14ac:dyDescent="0.2">
      <c r="Y132" s="13"/>
      <c r="Z132" s="19"/>
    </row>
    <row r="133" spans="25:26" ht="12.75" customHeight="1" x14ac:dyDescent="0.2">
      <c r="Y133" s="22"/>
    </row>
    <row r="141" spans="25:26" ht="12.75" customHeight="1" x14ac:dyDescent="0.2">
      <c r="Z141" s="20"/>
    </row>
    <row r="142" spans="25:26" ht="12.75" customHeight="1" x14ac:dyDescent="0.2">
      <c r="Y142" s="16"/>
      <c r="Z142" s="20"/>
    </row>
    <row r="143" spans="25:26" ht="12.75" customHeight="1" x14ac:dyDescent="0.2">
      <c r="Y143" s="16"/>
      <c r="Z143" s="20"/>
    </row>
    <row r="144" spans="25:26" ht="12.75" customHeight="1" x14ac:dyDescent="0.2">
      <c r="Y144" s="16"/>
      <c r="Z144" s="19"/>
    </row>
    <row r="145" spans="25:25" ht="12.75" customHeight="1" x14ac:dyDescent="0.2">
      <c r="Y145" s="17"/>
    </row>
    <row r="146" spans="25:25" ht="12.75" customHeight="1" x14ac:dyDescent="0.2">
      <c r="Y146" s="13"/>
    </row>
    <row r="147" spans="25:25" ht="12.75" customHeight="1" x14ac:dyDescent="0.2">
      <c r="Y147" s="13"/>
    </row>
    <row r="148" spans="25:25" ht="12.75" customHeight="1" x14ac:dyDescent="0.2">
      <c r="Y148" s="13"/>
    </row>
    <row r="149" spans="25:25" ht="12.75" customHeight="1" x14ac:dyDescent="0.2">
      <c r="Y149" s="13"/>
    </row>
    <row r="150" spans="25:25" ht="12.75" customHeight="1" x14ac:dyDescent="0.2">
      <c r="Y150" s="13"/>
    </row>
    <row r="151" spans="25:25" ht="12.75" customHeight="1" x14ac:dyDescent="0.2">
      <c r="Y151" s="13"/>
    </row>
    <row r="152" spans="25:25" ht="12.75" customHeight="1" x14ac:dyDescent="0.2">
      <c r="Y152" s="13"/>
    </row>
    <row r="153" spans="25:25" ht="12.75" customHeight="1" x14ac:dyDescent="0.2">
      <c r="Y153" s="13"/>
    </row>
    <row r="154" spans="25:25" ht="12.75" customHeight="1" x14ac:dyDescent="0.2">
      <c r="Y154" s="13"/>
    </row>
    <row r="155" spans="25:25" ht="12.75" customHeight="1" x14ac:dyDescent="0.2">
      <c r="Y155" s="13"/>
    </row>
    <row r="156" spans="25:25" ht="12.75" customHeight="1" x14ac:dyDescent="0.2">
      <c r="Y156" s="13"/>
    </row>
    <row r="157" spans="25:25" ht="12.75" customHeight="1" x14ac:dyDescent="0.2">
      <c r="Y157" s="13"/>
    </row>
    <row r="158" spans="25:25" ht="12.75" customHeight="1" x14ac:dyDescent="0.2">
      <c r="Y158" s="13"/>
    </row>
    <row r="159" spans="25:25" ht="12.75" customHeight="1" x14ac:dyDescent="0.2">
      <c r="Y159" s="13"/>
    </row>
    <row r="160" spans="25:25" ht="12.75" customHeight="1" x14ac:dyDescent="0.2">
      <c r="Y160" s="13"/>
    </row>
    <row r="161" spans="25:26" ht="12.75" customHeight="1" x14ac:dyDescent="0.2">
      <c r="Y161" s="13"/>
    </row>
    <row r="162" spans="25:26" ht="12.75" customHeight="1" x14ac:dyDescent="0.2">
      <c r="Y162" s="18"/>
    </row>
    <row r="163" spans="25:26" ht="12.75" customHeight="1" x14ac:dyDescent="0.2">
      <c r="Y163" s="18"/>
    </row>
    <row r="164" spans="25:26" ht="12.75" customHeight="1" x14ac:dyDescent="0.2">
      <c r="Y164" s="18"/>
    </row>
    <row r="165" spans="25:26" ht="12.75" customHeight="1" x14ac:dyDescent="0.2">
      <c r="Y165" s="18"/>
    </row>
    <row r="166" spans="25:26" ht="12.75" customHeight="1" x14ac:dyDescent="0.2">
      <c r="Y166" s="13"/>
    </row>
    <row r="167" spans="25:26" ht="12.75" customHeight="1" x14ac:dyDescent="0.2">
      <c r="Y167" s="13"/>
    </row>
    <row r="168" spans="25:26" ht="12.75" customHeight="1" x14ac:dyDescent="0.2">
      <c r="Y168" s="13"/>
    </row>
    <row r="169" spans="25:26" ht="12.75" customHeight="1" x14ac:dyDescent="0.2">
      <c r="Y169" s="13"/>
    </row>
    <row r="170" spans="25:26" ht="12.75" customHeight="1" x14ac:dyDescent="0.2">
      <c r="Y170" s="13"/>
    </row>
    <row r="171" spans="25:26" ht="12.75" customHeight="1" x14ac:dyDescent="0.2">
      <c r="Y171" s="13"/>
    </row>
    <row r="172" spans="25:26" ht="12.75" customHeight="1" x14ac:dyDescent="0.2">
      <c r="Y172" s="13"/>
    </row>
    <row r="173" spans="25:26" ht="12.75" customHeight="1" x14ac:dyDescent="0.2">
      <c r="Y173" s="13"/>
    </row>
    <row r="174" spans="25:26" ht="12.75" customHeight="1" x14ac:dyDescent="0.2">
      <c r="Y174" s="18"/>
      <c r="Z174" s="19"/>
    </row>
    <row r="175" spans="25:26" ht="12.75" customHeight="1" x14ac:dyDescent="0.2">
      <c r="Y175" s="21"/>
    </row>
    <row r="176" spans="25:26" ht="12.75" customHeight="1" x14ac:dyDescent="0.2">
      <c r="Y176" s="18"/>
    </row>
    <row r="177" spans="25:26" ht="12.75" customHeight="1" x14ac:dyDescent="0.2">
      <c r="Y177" s="13"/>
      <c r="Z177" s="19"/>
    </row>
    <row r="178" spans="25:26" ht="12.75" customHeight="1" x14ac:dyDescent="0.2">
      <c r="Y178"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- 9TH YEAR</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61F5B-9443-45B0-A943-4E6B577F4592}">
  <sheetPr codeName="Sheet13">
    <pageSetUpPr fitToPage="1"/>
  </sheetPr>
  <dimension ref="A1:AR178"/>
  <sheetViews>
    <sheetView view="pageLayout" topLeftCell="A2" zoomScale="70" zoomScaleNormal="100" zoomScalePageLayoutView="70" workbookViewId="0">
      <selection activeCell="D15" sqref="D15"/>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56"/>
    <col min="45" max="16384" width="9.7109375" style="2"/>
  </cols>
  <sheetData>
    <row r="1" spans="1:44" ht="12.75" customHeight="1" thickBot="1" x14ac:dyDescent="0.25">
      <c r="A1" s="23" t="s">
        <v>1</v>
      </c>
      <c r="B1" s="23" t="s">
        <v>2</v>
      </c>
      <c r="C1" s="23"/>
      <c r="D1" s="23" t="s">
        <v>3</v>
      </c>
      <c r="E1" s="23" t="s">
        <v>5</v>
      </c>
      <c r="F1" s="24" t="s">
        <v>63</v>
      </c>
      <c r="G1" s="23" t="s">
        <v>7</v>
      </c>
      <c r="H1" s="25"/>
      <c r="I1" s="26"/>
      <c r="J1" s="26"/>
      <c r="K1" s="26"/>
      <c r="L1" s="27" t="s">
        <v>81</v>
      </c>
      <c r="M1" s="28" t="s">
        <v>0</v>
      </c>
      <c r="N1" s="26" t="s">
        <v>42</v>
      </c>
      <c r="O1" s="29"/>
      <c r="P1" s="29" t="s">
        <v>11</v>
      </c>
      <c r="Q1" s="29"/>
      <c r="R1" s="30"/>
      <c r="S1" s="30"/>
      <c r="T1" s="30"/>
      <c r="U1" s="30"/>
      <c r="V1" s="30"/>
      <c r="W1" s="30"/>
      <c r="X1" s="30"/>
      <c r="Y1" s="30"/>
      <c r="Z1" s="101"/>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373"/>
      <c r="K2" s="373"/>
      <c r="L2" s="473" t="str">
        <f>TITLE!$C$7</f>
        <v xml:space="preserve">  </v>
      </c>
      <c r="M2" s="476"/>
      <c r="N2" s="473" t="str">
        <f>TITLE!$C$8</f>
        <v xml:space="preserve"> </v>
      </c>
      <c r="O2" s="476"/>
      <c r="P2" s="473" t="str">
        <f>TITLE!C9</f>
        <v xml:space="preserve"> </v>
      </c>
      <c r="Q2" s="474"/>
      <c r="R2" s="474"/>
      <c r="S2" s="474"/>
      <c r="T2" s="474"/>
      <c r="U2" s="474"/>
      <c r="V2" s="474"/>
      <c r="W2" s="474"/>
      <c r="X2" s="474"/>
      <c r="Y2" s="474"/>
      <c r="Z2" s="475"/>
    </row>
    <row r="3" spans="1:44" ht="12.75" customHeight="1" thickTop="1" x14ac:dyDescent="0.2">
      <c r="A3" s="33" t="s">
        <v>43</v>
      </c>
      <c r="B3" s="34" t="s">
        <v>44</v>
      </c>
      <c r="C3" s="34" t="s">
        <v>101</v>
      </c>
      <c r="D3" s="34" t="s">
        <v>45</v>
      </c>
      <c r="E3" s="34" t="s">
        <v>46</v>
      </c>
      <c r="F3" s="35" t="s">
        <v>47</v>
      </c>
      <c r="G3" s="36" t="s">
        <v>48</v>
      </c>
      <c r="H3" s="37"/>
      <c r="I3" s="38"/>
      <c r="J3" s="38"/>
      <c r="K3" s="38"/>
      <c r="L3" s="38"/>
      <c r="M3" s="38" t="s">
        <v>49</v>
      </c>
      <c r="N3" s="38"/>
      <c r="O3" s="38"/>
      <c r="P3" s="38"/>
      <c r="Q3" s="39"/>
      <c r="R3" s="40"/>
      <c r="S3" s="40"/>
      <c r="T3" s="40"/>
      <c r="U3" s="40"/>
      <c r="V3" s="38" t="s">
        <v>50</v>
      </c>
      <c r="W3" s="40"/>
      <c r="X3" s="40"/>
      <c r="Y3" s="40"/>
      <c r="Z3" s="100"/>
    </row>
    <row r="4" spans="1:44" ht="12.75" customHeight="1" x14ac:dyDescent="0.2">
      <c r="A4" s="41"/>
      <c r="B4" s="42" t="s">
        <v>51</v>
      </c>
      <c r="C4" s="42"/>
      <c r="D4" s="42" t="s">
        <v>52</v>
      </c>
      <c r="E4" s="42" t="s">
        <v>53</v>
      </c>
      <c r="F4" s="43" t="s">
        <v>54</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77" t="s">
        <v>55</v>
      </c>
      <c r="C5" s="277"/>
      <c r="D5" s="50" t="s">
        <v>52</v>
      </c>
      <c r="E5" s="50" t="s">
        <v>56</v>
      </c>
      <c r="F5" s="51" t="s">
        <v>57</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78" t="s">
        <v>58</v>
      </c>
      <c r="C6" s="278"/>
      <c r="D6" s="168" t="s">
        <v>59</v>
      </c>
      <c r="E6" s="42" t="s">
        <v>56</v>
      </c>
      <c r="F6" s="43" t="s">
        <v>57</v>
      </c>
      <c r="G6" s="169" t="s">
        <v>60</v>
      </c>
      <c r="H6" s="170" t="s">
        <v>71</v>
      </c>
      <c r="I6" s="396" t="s">
        <v>199</v>
      </c>
      <c r="J6" s="397" t="s">
        <v>197</v>
      </c>
      <c r="K6" s="398" t="s">
        <v>198</v>
      </c>
      <c r="L6" s="399" t="s">
        <v>23</v>
      </c>
      <c r="M6" s="399" t="s">
        <v>24</v>
      </c>
      <c r="N6" s="399" t="s">
        <v>25</v>
      </c>
      <c r="O6" s="397" t="s">
        <v>72</v>
      </c>
      <c r="P6" s="397" t="s">
        <v>26</v>
      </c>
      <c r="Q6" s="400" t="s">
        <v>80</v>
      </c>
      <c r="R6" s="401" t="s">
        <v>199</v>
      </c>
      <c r="S6" s="402" t="s">
        <v>197</v>
      </c>
      <c r="T6" s="403" t="s">
        <v>198</v>
      </c>
      <c r="U6" s="403" t="s">
        <v>23</v>
      </c>
      <c r="V6" s="171" t="s">
        <v>24</v>
      </c>
      <c r="W6" s="171" t="s">
        <v>25</v>
      </c>
      <c r="X6" s="46" t="s">
        <v>72</v>
      </c>
      <c r="Y6" s="46" t="s">
        <v>26</v>
      </c>
      <c r="Z6" s="172" t="s">
        <v>80</v>
      </c>
    </row>
    <row r="7" spans="1:44" s="173" customFormat="1" ht="12.75" customHeight="1" thickTop="1" x14ac:dyDescent="0.2">
      <c r="A7" s="194" t="s">
        <v>61</v>
      </c>
      <c r="B7" s="279" t="s">
        <v>165</v>
      </c>
      <c r="C7" s="293"/>
      <c r="D7" s="195">
        <v>0</v>
      </c>
      <c r="E7" s="196">
        <f>FACTORS!$I$2*D7</f>
        <v>0</v>
      </c>
      <c r="F7" s="197">
        <f>E7*24</f>
        <v>0</v>
      </c>
      <c r="G7" s="198">
        <v>0</v>
      </c>
      <c r="H7" s="199">
        <v>0</v>
      </c>
      <c r="I7" s="377">
        <f>FACTORS!$C$17*D7/453.592</f>
        <v>0</v>
      </c>
      <c r="J7" s="404">
        <f>FACTORS!$D$17*D7/453.592</f>
        <v>0</v>
      </c>
      <c r="K7" s="405">
        <f>FACTORS!$E$17*D7/453.592</f>
        <v>0</v>
      </c>
      <c r="L7" s="202">
        <f>FACTORS!$F$17*D7/453.592</f>
        <v>0</v>
      </c>
      <c r="M7" s="202">
        <f>FACTORS!$G$17*D7/453.592</f>
        <v>0</v>
      </c>
      <c r="N7" s="201">
        <f>FACTORS!$H$17*D7/453.592</f>
        <v>0</v>
      </c>
      <c r="O7" s="203">
        <f>FACTORS!$I$17*D7/453.592</f>
        <v>0</v>
      </c>
      <c r="P7" s="203">
        <f>FACTORS!$J$17*D7/453.592</f>
        <v>0</v>
      </c>
      <c r="Q7" s="204">
        <f>IFERROR(FACTORS!$K$17*D7/453.592,"--")</f>
        <v>0</v>
      </c>
      <c r="R7" s="381">
        <f>IF(I7=0,0,I7*($F7/($E7*24))*$G7*$H7/2000)</f>
        <v>0</v>
      </c>
      <c r="S7" s="203">
        <f t="shared" ref="S7:T10" si="0">IF(J7=0,0,J7*($F7/($E7*24))*$G7*$H7/2000)</f>
        <v>0</v>
      </c>
      <c r="T7" s="203">
        <f>IF(K7=0,0,K7*($F7/($E7*24))*$G7*$H7/2000)</f>
        <v>0</v>
      </c>
      <c r="U7" s="203">
        <f t="shared" ref="U7:W10" si="1">IF(L7=0,0,L7*($F7/($E7*24))*$G7*$H7/2000)</f>
        <v>0</v>
      </c>
      <c r="V7" s="203">
        <f t="shared" si="1"/>
        <v>0</v>
      </c>
      <c r="W7" s="203">
        <f t="shared" si="1"/>
        <v>0</v>
      </c>
      <c r="X7" s="203">
        <f>IFERROR(IF(O7=0,0,O7*($F7/($E7*24))*$G7*$H7/2000),"--")</f>
        <v>0</v>
      </c>
      <c r="Y7" s="203">
        <f>IF(P7=0,0,P7*($F7/($E7*24))*$G7*$H7/2000)</f>
        <v>0</v>
      </c>
      <c r="Z7" s="205">
        <f>IFERROR(IF(Q7=0,0,Q7*($F7/($E7*24))*$G7*$H7/2000),"--")</f>
        <v>0</v>
      </c>
      <c r="AA7" s="262"/>
      <c r="AB7" s="262"/>
      <c r="AC7" s="262"/>
      <c r="AD7" s="262"/>
      <c r="AE7" s="262"/>
      <c r="AF7" s="262"/>
      <c r="AG7" s="262"/>
      <c r="AH7" s="262"/>
      <c r="AI7" s="262"/>
      <c r="AJ7" s="262"/>
      <c r="AK7" s="262"/>
      <c r="AL7" s="262"/>
      <c r="AM7" s="262"/>
      <c r="AN7" s="262"/>
      <c r="AO7" s="262"/>
      <c r="AP7" s="262"/>
      <c r="AQ7" s="262"/>
      <c r="AR7" s="262"/>
    </row>
    <row r="8" spans="1:44" s="183" customFormat="1" ht="12.75" customHeight="1" x14ac:dyDescent="0.2">
      <c r="A8" s="206"/>
      <c r="B8" s="238" t="s">
        <v>165</v>
      </c>
      <c r="C8" s="294"/>
      <c r="D8" s="208">
        <v>0</v>
      </c>
      <c r="E8" s="209">
        <f>FACTORS!$I$2*D8</f>
        <v>0</v>
      </c>
      <c r="F8" s="201">
        <f>E8*24</f>
        <v>0</v>
      </c>
      <c r="G8" s="210">
        <v>0</v>
      </c>
      <c r="H8" s="211">
        <v>0</v>
      </c>
      <c r="I8" s="222">
        <f>FACTORS!$C$17*D8/453.592</f>
        <v>0</v>
      </c>
      <c r="J8" s="404">
        <f>FACTORS!$D$17*D8/453.592</f>
        <v>0</v>
      </c>
      <c r="K8" s="405">
        <f>FACTORS!$E$17*D8/453.592</f>
        <v>0</v>
      </c>
      <c r="L8" s="202">
        <f>FACTORS!$F$17*D8/453.592</f>
        <v>0</v>
      </c>
      <c r="M8" s="202">
        <f>FACTORS!$G$17*D8/453.592</f>
        <v>0</v>
      </c>
      <c r="N8" s="201">
        <f>FACTORS!$H$17*D8/453.592</f>
        <v>0</v>
      </c>
      <c r="O8" s="202">
        <f>FACTORS!$I$17*D8/453.592</f>
        <v>0</v>
      </c>
      <c r="P8" s="202">
        <f>FACTORS!$J$17*D8/453.592</f>
        <v>0</v>
      </c>
      <c r="Q8" s="204">
        <f>IFERROR(FACTORS!$K$17*D8/453.592,"--")</f>
        <v>0</v>
      </c>
      <c r="R8" s="200">
        <f>IF(I8=0,0,I8*($F8/($E8*24))*$G8*$H8/2000)</f>
        <v>0</v>
      </c>
      <c r="S8" s="202">
        <f t="shared" si="0"/>
        <v>0</v>
      </c>
      <c r="T8" s="202">
        <f t="shared" si="0"/>
        <v>0</v>
      </c>
      <c r="U8" s="202">
        <f t="shared" si="1"/>
        <v>0</v>
      </c>
      <c r="V8" s="202">
        <f t="shared" si="1"/>
        <v>0</v>
      </c>
      <c r="W8" s="202">
        <f t="shared" si="1"/>
        <v>0</v>
      </c>
      <c r="X8" s="202">
        <f>IFERROR(IF(O8=0,0,O8*($F8/($E8*24))*$G8*$H8/2000),"--")</f>
        <v>0</v>
      </c>
      <c r="Y8" s="202">
        <f>IF(P8=0,0,P8*($F8/($E8*24))*$G8*$H8/2000)</f>
        <v>0</v>
      </c>
      <c r="Z8" s="213">
        <f>IFERROR(IF(Q8=0,0,Q8*($F8/($E8*24))*$G8*$H8/2000),"--")</f>
        <v>0</v>
      </c>
      <c r="AA8" s="256"/>
      <c r="AB8" s="256"/>
      <c r="AC8" s="256"/>
      <c r="AD8" s="256"/>
      <c r="AE8" s="256"/>
      <c r="AF8" s="256"/>
      <c r="AG8" s="256"/>
      <c r="AH8" s="256"/>
      <c r="AI8" s="256"/>
      <c r="AJ8" s="256"/>
      <c r="AK8" s="256"/>
      <c r="AL8" s="256"/>
      <c r="AM8" s="256"/>
      <c r="AN8" s="256"/>
      <c r="AO8" s="256"/>
      <c r="AP8" s="256"/>
      <c r="AQ8" s="256"/>
      <c r="AR8" s="256"/>
    </row>
    <row r="9" spans="1:44" s="183" customFormat="1" ht="12.75" customHeight="1" x14ac:dyDescent="0.2">
      <c r="A9" s="206"/>
      <c r="B9" s="238" t="s">
        <v>165</v>
      </c>
      <c r="C9" s="294"/>
      <c r="D9" s="208">
        <v>0</v>
      </c>
      <c r="E9" s="209">
        <f>FACTORS!$I$2*D9</f>
        <v>0</v>
      </c>
      <c r="F9" s="201">
        <f>E9*24</f>
        <v>0</v>
      </c>
      <c r="G9" s="210">
        <v>0</v>
      </c>
      <c r="H9" s="211">
        <v>0</v>
      </c>
      <c r="I9" s="222">
        <f>FACTORS!$C$17*D9/453.592</f>
        <v>0</v>
      </c>
      <c r="J9" s="404">
        <f>FACTORS!$D$17*D9/453.592</f>
        <v>0</v>
      </c>
      <c r="K9" s="405">
        <f>FACTORS!$E$17*D9/453.592</f>
        <v>0</v>
      </c>
      <c r="L9" s="202">
        <f>FACTORS!$F$17*D9/453.592</f>
        <v>0</v>
      </c>
      <c r="M9" s="202">
        <f>FACTORS!$G$17*D9/453.592</f>
        <v>0</v>
      </c>
      <c r="N9" s="201">
        <f>FACTORS!$H$17*D9/453.592</f>
        <v>0</v>
      </c>
      <c r="O9" s="202">
        <f>FACTORS!$I$17*D9/453.592</f>
        <v>0</v>
      </c>
      <c r="P9" s="202">
        <f>FACTORS!$J$17*D9/453.592</f>
        <v>0</v>
      </c>
      <c r="Q9" s="204">
        <f>IFERROR(FACTORS!$K$17*D9/453.592,"--")</f>
        <v>0</v>
      </c>
      <c r="R9" s="200">
        <f>IF(I9=0,0,I9*($F9/($E9*24))*$G9*$H9/2000)</f>
        <v>0</v>
      </c>
      <c r="S9" s="202">
        <f t="shared" si="0"/>
        <v>0</v>
      </c>
      <c r="T9" s="202">
        <f t="shared" si="0"/>
        <v>0</v>
      </c>
      <c r="U9" s="202">
        <f t="shared" si="1"/>
        <v>0</v>
      </c>
      <c r="V9" s="202">
        <f t="shared" si="1"/>
        <v>0</v>
      </c>
      <c r="W9" s="202">
        <f t="shared" si="1"/>
        <v>0</v>
      </c>
      <c r="X9" s="202">
        <f>IFERROR(IF(O9=0,0,O9*($F9/($E9*24))*$G9*$H9/2000),"--")</f>
        <v>0</v>
      </c>
      <c r="Y9" s="202">
        <f>IF(P9=0,0,P9*($F9/($E9*24))*$G9*$H9/2000)</f>
        <v>0</v>
      </c>
      <c r="Z9" s="213">
        <f>IFERROR(IF(Q9=0,0,Q9*($F9/($E9*24))*$G9*$H9/2000),"--")</f>
        <v>0</v>
      </c>
      <c r="AA9" s="256"/>
      <c r="AB9" s="256"/>
      <c r="AC9" s="256"/>
      <c r="AD9" s="256"/>
      <c r="AE9" s="256"/>
      <c r="AF9" s="256"/>
      <c r="AG9" s="256"/>
      <c r="AH9" s="256"/>
      <c r="AI9" s="256"/>
      <c r="AJ9" s="256"/>
      <c r="AK9" s="256"/>
      <c r="AL9" s="256"/>
      <c r="AM9" s="256"/>
      <c r="AN9" s="256"/>
      <c r="AO9" s="256"/>
      <c r="AP9" s="256"/>
      <c r="AQ9" s="256"/>
      <c r="AR9" s="256"/>
    </row>
    <row r="10" spans="1:44" s="183" customFormat="1" ht="12.75" customHeight="1" x14ac:dyDescent="0.2">
      <c r="A10" s="206"/>
      <c r="B10" s="238" t="s">
        <v>165</v>
      </c>
      <c r="C10" s="294"/>
      <c r="D10" s="208">
        <v>0</v>
      </c>
      <c r="E10" s="209">
        <f>FACTORS!$I$2*D10</f>
        <v>0</v>
      </c>
      <c r="F10" s="201">
        <f>E10*24</f>
        <v>0</v>
      </c>
      <c r="G10" s="210">
        <v>0</v>
      </c>
      <c r="H10" s="211">
        <v>0</v>
      </c>
      <c r="I10" s="222">
        <f>FACTORS!$C$17*D10/453.592</f>
        <v>0</v>
      </c>
      <c r="J10" s="404">
        <f>FACTORS!$D$17*D10/453.592</f>
        <v>0</v>
      </c>
      <c r="K10" s="405">
        <f>FACTORS!$E$17*D10/453.592</f>
        <v>0</v>
      </c>
      <c r="L10" s="202">
        <f>FACTORS!$F$17*D10/453.592</f>
        <v>0</v>
      </c>
      <c r="M10" s="202">
        <f>FACTORS!$G$17*D10/453.592</f>
        <v>0</v>
      </c>
      <c r="N10" s="201">
        <f>FACTORS!$H$17*D10/453.592</f>
        <v>0</v>
      </c>
      <c r="O10" s="202">
        <f>FACTORS!$I$17*D10/453.592</f>
        <v>0</v>
      </c>
      <c r="P10" s="202">
        <f>FACTORS!$J$17*D10/453.592</f>
        <v>0</v>
      </c>
      <c r="Q10" s="204">
        <f>IFERROR(FACTORS!$K$17*D10/453.592,"--")</f>
        <v>0</v>
      </c>
      <c r="R10" s="200">
        <f>IF(I10=0,0,I10*($F10/($E10*24))*$G10*$H10/2000)</f>
        <v>0</v>
      </c>
      <c r="S10" s="202">
        <f>IF(J10=0,0,J10*($F10/($E10*24))*$G10*$H10/2000)</f>
        <v>0</v>
      </c>
      <c r="T10" s="202">
        <f t="shared" si="0"/>
        <v>0</v>
      </c>
      <c r="U10" s="202">
        <f t="shared" si="1"/>
        <v>0</v>
      </c>
      <c r="V10" s="202">
        <f t="shared" si="1"/>
        <v>0</v>
      </c>
      <c r="W10" s="202">
        <f t="shared" si="1"/>
        <v>0</v>
      </c>
      <c r="X10" s="202">
        <f>IFERROR(IF(O10=0,0,O10*($F10/($E10*24))*$G10*$H10/2000),"--")</f>
        <v>0</v>
      </c>
      <c r="Y10" s="202">
        <f>IF(P10=0,0,P10*($F10/($E10*24))*$G10*$H10/2000)</f>
        <v>0</v>
      </c>
      <c r="Z10" s="213">
        <f>IFERROR(IF(Q10=0,0,Q10*($F10/($E10*24))*$G10*$H10/2000),"--")</f>
        <v>0</v>
      </c>
      <c r="AA10" s="256"/>
      <c r="AB10" s="256"/>
      <c r="AC10" s="256"/>
      <c r="AD10" s="256"/>
      <c r="AE10" s="256"/>
      <c r="AF10" s="256"/>
      <c r="AG10" s="256"/>
      <c r="AH10" s="256"/>
      <c r="AI10" s="256"/>
      <c r="AJ10" s="256"/>
      <c r="AK10" s="256"/>
      <c r="AL10" s="256"/>
      <c r="AM10" s="256"/>
      <c r="AN10" s="256"/>
      <c r="AO10" s="256"/>
      <c r="AP10" s="256"/>
      <c r="AQ10" s="256"/>
      <c r="AR10" s="256"/>
    </row>
    <row r="11" spans="1:44" s="183" customFormat="1" x14ac:dyDescent="0.2">
      <c r="A11" s="206"/>
      <c r="B11" s="207" t="s">
        <v>194</v>
      </c>
      <c r="C11" s="207"/>
      <c r="D11" s="208">
        <v>0</v>
      </c>
      <c r="E11" s="214"/>
      <c r="F11" s="215"/>
      <c r="G11" s="208">
        <v>0</v>
      </c>
      <c r="H11" s="211">
        <v>0</v>
      </c>
      <c r="I11" s="222">
        <f>FACTORS!$C$19*D11/453.592</f>
        <v>0</v>
      </c>
      <c r="J11" s="404">
        <f>FACTORS!$D$19*D11/453.592</f>
        <v>0</v>
      </c>
      <c r="K11" s="405">
        <f>FACTORS!$E$19*D11/453.592</f>
        <v>0</v>
      </c>
      <c r="L11" s="202">
        <f>FACTORS!$F$19*D11/453.592</f>
        <v>0</v>
      </c>
      <c r="M11" s="202">
        <f>FACTORS!$G$19*D11/453.592</f>
        <v>0</v>
      </c>
      <c r="N11" s="201">
        <f>FACTORS!$H$19*D11/453.592</f>
        <v>0</v>
      </c>
      <c r="O11" s="202">
        <f>FACTORS!$I$19*D11/453.592</f>
        <v>0</v>
      </c>
      <c r="P11" s="202">
        <f>FACTORS!$J$19*D11/453.592</f>
        <v>0</v>
      </c>
      <c r="Q11" s="204">
        <f>FACTORS!$K$19*D11/453.592</f>
        <v>0</v>
      </c>
      <c r="R11" s="200">
        <f>I11*$G11*$H11/2000</f>
        <v>0</v>
      </c>
      <c r="S11" s="408">
        <f>J11*$G11*$H11/2000</f>
        <v>0</v>
      </c>
      <c r="T11" s="408">
        <f>K11*$G11*$H11/2000</f>
        <v>0</v>
      </c>
      <c r="U11" s="202">
        <f t="shared" ref="U11:Z11" si="2">L11*$G11*$H11/2000</f>
        <v>0</v>
      </c>
      <c r="V11" s="202">
        <f t="shared" si="2"/>
        <v>0</v>
      </c>
      <c r="W11" s="202">
        <f t="shared" si="2"/>
        <v>0</v>
      </c>
      <c r="X11" s="202">
        <f t="shared" si="2"/>
        <v>0</v>
      </c>
      <c r="Y11" s="202">
        <f t="shared" si="2"/>
        <v>0</v>
      </c>
      <c r="Z11" s="213">
        <f t="shared" si="2"/>
        <v>0</v>
      </c>
      <c r="AA11" s="256"/>
      <c r="AB11" s="256"/>
      <c r="AC11" s="256"/>
      <c r="AD11" s="256"/>
      <c r="AE11" s="256"/>
      <c r="AF11" s="256"/>
      <c r="AG11" s="256"/>
      <c r="AH11" s="256"/>
      <c r="AI11" s="256"/>
      <c r="AJ11" s="256"/>
      <c r="AK11" s="256"/>
      <c r="AL11" s="256"/>
      <c r="AM11" s="256"/>
      <c r="AN11" s="256"/>
      <c r="AO11" s="256"/>
      <c r="AP11" s="256"/>
      <c r="AQ11" s="256"/>
      <c r="AR11" s="256"/>
    </row>
    <row r="12" spans="1:44" s="183" customFormat="1" x14ac:dyDescent="0.2">
      <c r="A12" s="206"/>
      <c r="B12" s="207" t="s">
        <v>200</v>
      </c>
      <c r="C12" s="207"/>
      <c r="D12" s="208">
        <v>0</v>
      </c>
      <c r="E12" s="209">
        <f>FACTORS!$I$2*D12</f>
        <v>0</v>
      </c>
      <c r="F12" s="201">
        <f>E12*24</f>
        <v>0</v>
      </c>
      <c r="G12" s="210">
        <v>0</v>
      </c>
      <c r="H12" s="211">
        <v>0</v>
      </c>
      <c r="I12" s="406">
        <f>FACTORS!$C$18*D12/453.592</f>
        <v>0</v>
      </c>
      <c r="J12" s="404">
        <f>FACTORS!$D$18*D12/453.592</f>
        <v>0</v>
      </c>
      <c r="K12" s="405">
        <f>FACTORS!$E$18*D12/453.592</f>
        <v>0</v>
      </c>
      <c r="L12" s="202">
        <f>FACTORS!$F$18*D12/453.592</f>
        <v>0</v>
      </c>
      <c r="M12" s="202">
        <f>FACTORS!$G$18*D12/453.592</f>
        <v>0</v>
      </c>
      <c r="N12" s="201">
        <f>FACTORS!$H$18*D12/453.592</f>
        <v>0</v>
      </c>
      <c r="O12" s="202">
        <f>FACTORS!$I$18*D12/453.592</f>
        <v>0</v>
      </c>
      <c r="P12" s="202">
        <f>FACTORS!$J$18*D12/453.592</f>
        <v>0</v>
      </c>
      <c r="Q12" s="204">
        <f>FACTORS!$K$18*D12/453.592</f>
        <v>0</v>
      </c>
      <c r="R12" s="200">
        <f>IF(I12=0,0,I12*($F12/($E12*24))*$G12*$H12/2000)</f>
        <v>0</v>
      </c>
      <c r="S12" s="202">
        <f t="shared" ref="S12:W12" si="3">IF(J12=0,0,J12*($F12/($E12*24))*$G12*$H12/2000)</f>
        <v>0</v>
      </c>
      <c r="T12" s="202">
        <f t="shared" si="3"/>
        <v>0</v>
      </c>
      <c r="U12" s="202">
        <f t="shared" si="3"/>
        <v>0</v>
      </c>
      <c r="V12" s="202">
        <f t="shared" si="3"/>
        <v>0</v>
      </c>
      <c r="W12" s="202">
        <f t="shared" si="3"/>
        <v>0</v>
      </c>
      <c r="X12" s="202">
        <f>IFERROR(IF(O12=0,0,O12*($F12/($E12*24))*$G12*$H12/2000),"--")</f>
        <v>0</v>
      </c>
      <c r="Y12" s="202">
        <f t="shared" ref="Y12" si="4">IF(P12=0,0,P12*($F12/($E12*24))*$G12*$H12/2000)</f>
        <v>0</v>
      </c>
      <c r="Z12" s="213">
        <f>IFERROR(IF(Q12=0,0,Q12*($F12/($E12*24))*$G12*$H12/2000),"--")</f>
        <v>0</v>
      </c>
      <c r="AA12" s="256"/>
      <c r="AB12" s="256"/>
      <c r="AC12" s="256"/>
      <c r="AD12" s="256"/>
      <c r="AE12" s="256"/>
      <c r="AF12" s="256"/>
      <c r="AG12" s="256"/>
      <c r="AH12" s="256"/>
      <c r="AI12" s="256"/>
      <c r="AJ12" s="256"/>
      <c r="AK12" s="256"/>
      <c r="AL12" s="256"/>
      <c r="AM12" s="256"/>
      <c r="AN12" s="256"/>
      <c r="AO12" s="256"/>
      <c r="AP12" s="256"/>
      <c r="AQ12" s="256"/>
      <c r="AR12" s="256"/>
    </row>
    <row r="13" spans="1:44" ht="12.75" customHeight="1" x14ac:dyDescent="0.2">
      <c r="A13" s="61"/>
      <c r="B13" s="62"/>
      <c r="C13" s="62"/>
      <c r="D13" s="63"/>
      <c r="E13" s="64" t="s">
        <v>0</v>
      </c>
      <c r="F13" s="65"/>
      <c r="G13" s="66"/>
      <c r="H13" s="67"/>
      <c r="I13" s="59" t="s">
        <v>0</v>
      </c>
      <c r="J13" s="60"/>
      <c r="K13" s="374"/>
      <c r="L13" s="60" t="s">
        <v>0</v>
      </c>
      <c r="M13" s="60"/>
      <c r="N13" s="58"/>
      <c r="O13" s="60"/>
      <c r="P13" s="60"/>
      <c r="Q13" s="151"/>
      <c r="R13" s="75"/>
      <c r="S13" s="60"/>
      <c r="T13" s="60"/>
      <c r="U13" s="60"/>
      <c r="V13" s="60"/>
      <c r="W13" s="60"/>
      <c r="X13" s="68"/>
      <c r="Y13" s="68"/>
      <c r="Z13" s="69"/>
    </row>
    <row r="14" spans="1:44" s="183" customFormat="1" ht="12.75" customHeight="1" x14ac:dyDescent="0.2">
      <c r="A14" s="206" t="s">
        <v>183</v>
      </c>
      <c r="B14" s="207" t="s">
        <v>121</v>
      </c>
      <c r="C14" s="207"/>
      <c r="D14" s="208">
        <v>0</v>
      </c>
      <c r="E14" s="216">
        <f>FACTORS!$I$2*D14</f>
        <v>0</v>
      </c>
      <c r="F14" s="201">
        <f>E14*24</f>
        <v>0</v>
      </c>
      <c r="G14" s="210">
        <v>0</v>
      </c>
      <c r="H14" s="211">
        <v>0</v>
      </c>
      <c r="I14" s="236">
        <f>FACTORS!$C$17*D14/453.592</f>
        <v>0</v>
      </c>
      <c r="J14" s="407">
        <f>FACTORS!$D$17*D14/453.592</f>
        <v>0</v>
      </c>
      <c r="K14" s="409">
        <f>FACTORS!$E$17*D14/453.592</f>
        <v>0</v>
      </c>
      <c r="L14" s="219">
        <f>FACTORS!$F$17*D14/453.592</f>
        <v>0</v>
      </c>
      <c r="M14" s="219">
        <f>FACTORS!$G$17*D14/453.592</f>
        <v>0</v>
      </c>
      <c r="N14" s="218">
        <f>FACTORS!$H$17*D14/453.592</f>
        <v>0</v>
      </c>
      <c r="O14" s="219">
        <f>FACTORS!$I$17*D14/453.592</f>
        <v>0</v>
      </c>
      <c r="P14" s="219">
        <f>FACTORS!$J$17*D14/453.592</f>
        <v>0</v>
      </c>
      <c r="Q14" s="220">
        <f>FACTORS!$K$17*D14/453.592</f>
        <v>0</v>
      </c>
      <c r="R14" s="217">
        <f>IF(I14=0,0,I14*($F14/($E14*24))*$G14*$H14/2000)</f>
        <v>0</v>
      </c>
      <c r="S14" s="219">
        <f t="shared" ref="S14:W14" si="5">IF(J14=0,0,J14*($F14/($E14*24))*$G14*$H14/2000)</f>
        <v>0</v>
      </c>
      <c r="T14" s="219">
        <f t="shared" si="5"/>
        <v>0</v>
      </c>
      <c r="U14" s="219">
        <f t="shared" si="5"/>
        <v>0</v>
      </c>
      <c r="V14" s="219">
        <f t="shared" si="5"/>
        <v>0</v>
      </c>
      <c r="W14" s="219">
        <f t="shared" si="5"/>
        <v>0</v>
      </c>
      <c r="X14" s="219">
        <f>IFERROR(IF(O14=0,0,O14*($F14/($E14*24))*$G14*$H14/2000),"--")</f>
        <v>0</v>
      </c>
      <c r="Y14" s="219">
        <f t="shared" ref="Y14" si="6">IF(P14=0,0,P14*($F14/($E14*24))*$G14*$H14/2000)</f>
        <v>0</v>
      </c>
      <c r="Z14" s="221">
        <f>IFERROR(IF(Q14=0,0,Q14*($F14/($E14*24))*$G14*$H14/2000),"--")</f>
        <v>0</v>
      </c>
      <c r="AA14" s="256"/>
      <c r="AB14" s="256"/>
      <c r="AC14" s="256"/>
      <c r="AD14" s="256"/>
      <c r="AE14" s="256"/>
      <c r="AF14" s="256"/>
      <c r="AG14" s="256"/>
      <c r="AH14" s="256"/>
      <c r="AI14" s="256"/>
      <c r="AJ14" s="256"/>
      <c r="AK14" s="256"/>
      <c r="AL14" s="256"/>
      <c r="AM14" s="256"/>
      <c r="AN14" s="256"/>
      <c r="AO14" s="256"/>
      <c r="AP14" s="256"/>
      <c r="AQ14" s="256"/>
      <c r="AR14" s="256"/>
    </row>
    <row r="15" spans="1:44" ht="12.75" customHeight="1" x14ac:dyDescent="0.2">
      <c r="A15" s="61"/>
      <c r="B15" s="62"/>
      <c r="C15" s="62"/>
      <c r="D15" s="450" t="s">
        <v>205</v>
      </c>
      <c r="E15" s="64" t="s">
        <v>0</v>
      </c>
      <c r="F15" s="65"/>
      <c r="G15" s="66"/>
      <c r="H15" s="67"/>
      <c r="I15" s="59" t="s">
        <v>0</v>
      </c>
      <c r="J15" s="414" t="s">
        <v>0</v>
      </c>
      <c r="K15" s="415" t="s">
        <v>0</v>
      </c>
      <c r="L15" s="60" t="s">
        <v>0</v>
      </c>
      <c r="M15" s="60"/>
      <c r="N15" s="58"/>
      <c r="O15" s="60"/>
      <c r="P15" s="60"/>
      <c r="Q15" s="151"/>
      <c r="R15" s="75"/>
      <c r="S15" s="60"/>
      <c r="T15" s="60"/>
      <c r="U15" s="60"/>
      <c r="V15" s="60"/>
      <c r="W15" s="60"/>
      <c r="X15" s="68"/>
      <c r="Y15" s="68"/>
      <c r="Z15" s="69"/>
    </row>
    <row r="16" spans="1:44" ht="12.75" customHeight="1" x14ac:dyDescent="0.2">
      <c r="A16" s="230" t="s">
        <v>61</v>
      </c>
      <c r="B16" s="231" t="s">
        <v>31</v>
      </c>
      <c r="C16" s="232"/>
      <c r="D16" s="233">
        <v>0</v>
      </c>
      <c r="E16" s="227"/>
      <c r="F16" s="228"/>
      <c r="G16" s="234">
        <v>0</v>
      </c>
      <c r="H16" s="235">
        <v>0</v>
      </c>
      <c r="I16" s="236">
        <f>FACTORS!$C$27*D16/24</f>
        <v>0</v>
      </c>
      <c r="J16" s="407">
        <f>FACTORS!$D$27*D16/24</f>
        <v>0</v>
      </c>
      <c r="K16" s="409">
        <f>FACTORS!$E$27*D16/24</f>
        <v>0</v>
      </c>
      <c r="L16" s="219">
        <f>FACTORS!$F$27*D16/24</f>
        <v>0</v>
      </c>
      <c r="M16" s="219">
        <f>FACTORS!$G$27*D16/24</f>
        <v>0</v>
      </c>
      <c r="N16" s="218">
        <f>FACTORS!$H$27*D16/24</f>
        <v>0</v>
      </c>
      <c r="O16" s="218">
        <f>FACTORS!$I$27*D16/24</f>
        <v>0</v>
      </c>
      <c r="P16" s="219">
        <f>FACTORS!$J$27*D16/24</f>
        <v>0</v>
      </c>
      <c r="Q16" s="219">
        <f>FACTORS!$K$27*D16/24</f>
        <v>0</v>
      </c>
      <c r="R16" s="236">
        <f>IFERROR(I16*$G16*$H16/2000, "--")</f>
        <v>0</v>
      </c>
      <c r="S16" s="408">
        <f>IFERROR(J16*$G16*$H16/2000, "--")</f>
        <v>0</v>
      </c>
      <c r="T16" s="409">
        <f>IFERROR(K16*$G16*$H16/2000, "--")</f>
        <v>0</v>
      </c>
      <c r="U16" s="219">
        <f t="shared" ref="U16:Z16" si="7">IFERROR(L16*$G16*$H16/2000, "--")</f>
        <v>0</v>
      </c>
      <c r="V16" s="219">
        <f t="shared" si="7"/>
        <v>0</v>
      </c>
      <c r="W16" s="219">
        <f t="shared" si="7"/>
        <v>0</v>
      </c>
      <c r="X16" s="219">
        <f t="shared" si="7"/>
        <v>0</v>
      </c>
      <c r="Y16" s="218">
        <f t="shared" si="7"/>
        <v>0</v>
      </c>
      <c r="Z16" s="221">
        <f t="shared" si="7"/>
        <v>0</v>
      </c>
    </row>
    <row r="17" spans="1:44" ht="15" customHeight="1" x14ac:dyDescent="0.2">
      <c r="A17" s="237" t="s">
        <v>65</v>
      </c>
      <c r="B17" s="207" t="s">
        <v>128</v>
      </c>
      <c r="C17" s="238"/>
      <c r="D17" s="239"/>
      <c r="E17" s="209">
        <v>0</v>
      </c>
      <c r="F17" s="229" t="s">
        <v>0</v>
      </c>
      <c r="G17" s="208">
        <v>0</v>
      </c>
      <c r="H17" s="211">
        <v>0</v>
      </c>
      <c r="I17" s="222">
        <f>FACTORS!$C$22*E17/1000000</f>
        <v>0</v>
      </c>
      <c r="J17" s="408">
        <f>FACTORS!$D$22*E17/1000000</f>
        <v>0</v>
      </c>
      <c r="K17" s="404">
        <f>FACTORS!$E$22*E17/1000000</f>
        <v>0</v>
      </c>
      <c r="L17" s="202">
        <f>FACTORS!$F$22*E17/1000000</f>
        <v>0</v>
      </c>
      <c r="M17" s="202">
        <f>FACTORS!$G$22*E17/1000000</f>
        <v>0</v>
      </c>
      <c r="N17" s="201">
        <f>FACTORS!$H$22*E17/1000000</f>
        <v>0</v>
      </c>
      <c r="O17" s="202" t="str">
        <f>IFERROR(FACTORS!$I$22*E17/1000000,"--")</f>
        <v>--</v>
      </c>
      <c r="P17" s="202">
        <f>FACTORS!$J$22*E17/1000000</f>
        <v>0</v>
      </c>
      <c r="Q17" s="212" t="str">
        <f>IFERROR(FACTORS!$K$22*E17/1000000, "--")</f>
        <v>--</v>
      </c>
      <c r="R17" s="222">
        <f>IFERROR(I17*$G17*$H17/2000,"--")</f>
        <v>0</v>
      </c>
      <c r="S17" s="408">
        <f t="shared" ref="S17:Z20" si="8">IFERROR(J17*$G17*$H17/2000,"--")</f>
        <v>0</v>
      </c>
      <c r="T17" s="404">
        <f t="shared" si="8"/>
        <v>0</v>
      </c>
      <c r="U17" s="202">
        <f t="shared" si="8"/>
        <v>0</v>
      </c>
      <c r="V17" s="202">
        <f t="shared" si="8"/>
        <v>0</v>
      </c>
      <c r="W17" s="202">
        <f t="shared" si="8"/>
        <v>0</v>
      </c>
      <c r="X17" s="202" t="str">
        <f t="shared" si="8"/>
        <v>--</v>
      </c>
      <c r="Y17" s="202">
        <f t="shared" si="8"/>
        <v>0</v>
      </c>
      <c r="Z17" s="213" t="str">
        <f t="shared" si="8"/>
        <v>--</v>
      </c>
    </row>
    <row r="18" spans="1:44" ht="15" customHeight="1" x14ac:dyDescent="0.2">
      <c r="A18" s="237"/>
      <c r="B18" s="207" t="s">
        <v>129</v>
      </c>
      <c r="C18" s="207"/>
      <c r="D18" s="240"/>
      <c r="E18" s="209">
        <v>0</v>
      </c>
      <c r="F18" s="229" t="s">
        <v>0</v>
      </c>
      <c r="G18" s="208">
        <v>0</v>
      </c>
      <c r="H18" s="211">
        <v>0</v>
      </c>
      <c r="I18" s="222">
        <f>FACTORS!$C$23*E18/1000000</f>
        <v>0</v>
      </c>
      <c r="J18" s="408">
        <f>FACTORS!$D$23*E18/1000000</f>
        <v>0</v>
      </c>
      <c r="K18" s="404">
        <f>FACTORS!$E$23*E18/1000000</f>
        <v>0</v>
      </c>
      <c r="L18" s="202">
        <f>FACTORS!$F$23*E18/1000000</f>
        <v>0</v>
      </c>
      <c r="M18" s="202">
        <f>FACTORS!$G$23*E18/1000000</f>
        <v>0</v>
      </c>
      <c r="N18" s="201">
        <f>FACTORS!$H$23*E18/1000000</f>
        <v>0</v>
      </c>
      <c r="O18" s="202" t="str">
        <f>IFERROR(FACTORS!$I$23*E18/1000000, "--")</f>
        <v>--</v>
      </c>
      <c r="P18" s="202">
        <f>FACTORS!$J$23*E18/1000000</f>
        <v>0</v>
      </c>
      <c r="Q18" s="223" t="str">
        <f>IFERROR(FACTORS!$K$23*E18/1000000, "--")</f>
        <v>--</v>
      </c>
      <c r="R18" s="222">
        <f>IFERROR(I18*$G18*$H18/2000,"--")</f>
        <v>0</v>
      </c>
      <c r="S18" s="408">
        <f t="shared" si="8"/>
        <v>0</v>
      </c>
      <c r="T18" s="404">
        <f t="shared" si="8"/>
        <v>0</v>
      </c>
      <c r="U18" s="202">
        <f t="shared" si="8"/>
        <v>0</v>
      </c>
      <c r="V18" s="202">
        <f t="shared" si="8"/>
        <v>0</v>
      </c>
      <c r="W18" s="202">
        <f t="shared" si="8"/>
        <v>0</v>
      </c>
      <c r="X18" s="202" t="str">
        <f t="shared" si="8"/>
        <v>--</v>
      </c>
      <c r="Y18" s="202">
        <f t="shared" si="8"/>
        <v>0</v>
      </c>
      <c r="Z18" s="213" t="str">
        <f t="shared" si="8"/>
        <v>--</v>
      </c>
    </row>
    <row r="19" spans="1:44" ht="15" customHeight="1" x14ac:dyDescent="0.2">
      <c r="A19" s="237"/>
      <c r="B19" s="207" t="s">
        <v>130</v>
      </c>
      <c r="C19" s="207"/>
      <c r="D19" s="240"/>
      <c r="E19" s="209">
        <v>0</v>
      </c>
      <c r="F19" s="229" t="s">
        <v>0</v>
      </c>
      <c r="G19" s="208">
        <v>0</v>
      </c>
      <c r="H19" s="211">
        <v>0</v>
      </c>
      <c r="I19" s="222">
        <f>FACTORS!$C$24*E19/1000000</f>
        <v>0</v>
      </c>
      <c r="J19" s="408">
        <f>FACTORS!$D$24*E19/1000000</f>
        <v>0</v>
      </c>
      <c r="K19" s="404">
        <f>FACTORS!$E$24*E19/1000000</f>
        <v>0</v>
      </c>
      <c r="L19" s="202">
        <f>FACTORS!$F$24*E19/1000000</f>
        <v>0</v>
      </c>
      <c r="M19" s="202">
        <f>FACTORS!$G$24*E19/1000000</f>
        <v>0</v>
      </c>
      <c r="N19" s="201">
        <f>FACTORS!$H$24*E19/1000000</f>
        <v>0</v>
      </c>
      <c r="O19" s="202" t="str">
        <f>IFERROR(FACTORS!$I$24*E19/1000000, "--")</f>
        <v>--</v>
      </c>
      <c r="P19" s="202">
        <f>FACTORS!$J$24*E19/1000000</f>
        <v>0</v>
      </c>
      <c r="Q19" s="223" t="str">
        <f>IFERROR(FACTORS!$K$24*E19/1000000, "--")</f>
        <v>--</v>
      </c>
      <c r="R19" s="222">
        <f>IFERROR(I19*$G19*$H19/2000,"--")</f>
        <v>0</v>
      </c>
      <c r="S19" s="408">
        <f t="shared" si="8"/>
        <v>0</v>
      </c>
      <c r="T19" s="404">
        <f t="shared" si="8"/>
        <v>0</v>
      </c>
      <c r="U19" s="202">
        <f t="shared" si="8"/>
        <v>0</v>
      </c>
      <c r="V19" s="202">
        <f t="shared" si="8"/>
        <v>0</v>
      </c>
      <c r="W19" s="202">
        <f t="shared" si="8"/>
        <v>0</v>
      </c>
      <c r="X19" s="202" t="str">
        <f t="shared" si="8"/>
        <v>--</v>
      </c>
      <c r="Y19" s="202">
        <f t="shared" si="8"/>
        <v>0</v>
      </c>
      <c r="Z19" s="213" t="str">
        <f t="shared" si="8"/>
        <v>--</v>
      </c>
    </row>
    <row r="20" spans="1:44" ht="15" customHeight="1" x14ac:dyDescent="0.2">
      <c r="A20" s="237"/>
      <c r="B20" s="207" t="s">
        <v>131</v>
      </c>
      <c r="C20" s="207"/>
      <c r="D20" s="240"/>
      <c r="E20" s="209">
        <v>0</v>
      </c>
      <c r="F20" s="229" t="s">
        <v>0</v>
      </c>
      <c r="G20" s="208">
        <v>0</v>
      </c>
      <c r="H20" s="211">
        <v>0</v>
      </c>
      <c r="I20" s="222">
        <f>FACTORS!$C$25*E20/1000000</f>
        <v>0</v>
      </c>
      <c r="J20" s="408">
        <f>FACTORS!$D$25*E20/1000000</f>
        <v>0</v>
      </c>
      <c r="K20" s="404">
        <f>FACTORS!$E$25*E20/1000000</f>
        <v>0</v>
      </c>
      <c r="L20" s="202">
        <f>FACTORS!$F$25*E20/1000000</f>
        <v>0</v>
      </c>
      <c r="M20" s="202">
        <f>FACTORS!$G$25*E20/1000000</f>
        <v>0</v>
      </c>
      <c r="N20" s="201">
        <f>FACTORS!$H$25*E20/1000000</f>
        <v>0</v>
      </c>
      <c r="O20" s="202" t="str">
        <f>IFERROR(FACTORS!$I$25*E20/1000000, "--")</f>
        <v>--</v>
      </c>
      <c r="P20" s="202">
        <f>FACTORS!$J$25*E20/1000000</f>
        <v>0</v>
      </c>
      <c r="Q20" s="223" t="str">
        <f>IFERROR(FACTORS!$K$25*E20/1000000, "--")</f>
        <v>--</v>
      </c>
      <c r="R20" s="328">
        <f>IFERROR(I20*$G20*$H20/2000,"--")</f>
        <v>0</v>
      </c>
      <c r="S20" s="410">
        <f t="shared" si="8"/>
        <v>0</v>
      </c>
      <c r="T20" s="411">
        <f>IFERROR(K20*$G20*$H20/2000,"--")</f>
        <v>0</v>
      </c>
      <c r="U20" s="225">
        <f t="shared" si="8"/>
        <v>0</v>
      </c>
      <c r="V20" s="225">
        <f t="shared" si="8"/>
        <v>0</v>
      </c>
      <c r="W20" s="225">
        <f t="shared" si="8"/>
        <v>0</v>
      </c>
      <c r="X20" s="225" t="str">
        <f t="shared" si="8"/>
        <v>--</v>
      </c>
      <c r="Y20" s="225">
        <f t="shared" si="8"/>
        <v>0</v>
      </c>
      <c r="Z20" s="226" t="str">
        <f t="shared" si="8"/>
        <v>--</v>
      </c>
    </row>
    <row r="21" spans="1:44" ht="24.75" customHeight="1" x14ac:dyDescent="0.2">
      <c r="A21" s="360" t="s">
        <v>184</v>
      </c>
      <c r="B21" s="362" t="s">
        <v>160</v>
      </c>
      <c r="C21" s="157"/>
      <c r="D21" s="357" t="s">
        <v>100</v>
      </c>
      <c r="E21" s="74"/>
      <c r="F21" s="74"/>
      <c r="G21" s="169" t="s">
        <v>60</v>
      </c>
      <c r="H21" s="358" t="s">
        <v>71</v>
      </c>
      <c r="I21" s="375"/>
      <c r="J21" s="425"/>
      <c r="K21" s="426"/>
      <c r="L21" s="320"/>
      <c r="M21" s="320"/>
      <c r="N21" s="121"/>
      <c r="O21" s="320"/>
      <c r="P21" s="320"/>
      <c r="Q21" s="359"/>
      <c r="R21" s="59"/>
      <c r="S21" s="414"/>
      <c r="T21" s="415"/>
      <c r="U21" s="60"/>
      <c r="V21" s="60"/>
      <c r="W21" s="60"/>
      <c r="X21" s="60"/>
      <c r="Y21" s="60"/>
      <c r="Z21" s="110"/>
    </row>
    <row r="22" spans="1:44" s="183" customFormat="1" ht="12.75" customHeight="1" x14ac:dyDescent="0.2">
      <c r="A22" s="324"/>
      <c r="B22" s="271" t="s">
        <v>120</v>
      </c>
      <c r="C22" s="272"/>
      <c r="D22" s="273">
        <v>0</v>
      </c>
      <c r="E22" s="270"/>
      <c r="F22" s="270"/>
      <c r="G22" s="273">
        <v>0</v>
      </c>
      <c r="H22" s="325">
        <v>0</v>
      </c>
      <c r="I22" s="328">
        <f>FACTORS!$C$41*D22/453.592</f>
        <v>0</v>
      </c>
      <c r="J22" s="410">
        <f>FACTORS!$D$41*D22/453.592</f>
        <v>0</v>
      </c>
      <c r="K22" s="411">
        <f>FACTORS!$E$41*D22/453.592</f>
        <v>0</v>
      </c>
      <c r="L22" s="225">
        <f>FACTORS!$F$41*D22/453.592</f>
        <v>0</v>
      </c>
      <c r="M22" s="225">
        <f>FACTORS!$G$41*D22/453.592</f>
        <v>0</v>
      </c>
      <c r="N22" s="326">
        <f>FACTORS!$H$41*D22/453.592</f>
        <v>0</v>
      </c>
      <c r="O22" s="365" t="s">
        <v>108</v>
      </c>
      <c r="P22" s="225">
        <f>FACTORS!$J$41*D22/453.592</f>
        <v>0</v>
      </c>
      <c r="Q22" s="356">
        <f>FACTORS!$K$41*D22/453.592</f>
        <v>0</v>
      </c>
      <c r="R22" s="224">
        <f t="shared" ref="R22" si="9">IFERROR((I22*$G22*$H22)/2000, "")</f>
        <v>0</v>
      </c>
      <c r="S22" s="410">
        <f>IFERROR((J22*$G22*$H22)/2000, "")</f>
        <v>0</v>
      </c>
      <c r="T22" s="411">
        <f>IFERROR((K22*$G22*$H22)/2000, "")</f>
        <v>0</v>
      </c>
      <c r="U22" s="327">
        <f t="shared" ref="U22:W22" si="10">IFERROR((L22*$G22*$H22)/2000, "")</f>
        <v>0</v>
      </c>
      <c r="V22" s="327">
        <f t="shared" si="10"/>
        <v>0</v>
      </c>
      <c r="W22" s="327">
        <f t="shared" si="10"/>
        <v>0</v>
      </c>
      <c r="X22" s="327" t="str">
        <f>IFERROR((O22*$G22*$H22)/2000, "--")</f>
        <v>--</v>
      </c>
      <c r="Y22" s="327">
        <f t="shared" ref="Y22:Z22" si="11">IFERROR((P22*$G22*$H22)/2000, "")</f>
        <v>0</v>
      </c>
      <c r="Z22" s="226">
        <f t="shared" si="11"/>
        <v>0</v>
      </c>
      <c r="AA22" s="256"/>
      <c r="AB22" s="256"/>
      <c r="AC22" s="256"/>
      <c r="AD22" s="256"/>
      <c r="AE22" s="256"/>
      <c r="AF22" s="256"/>
      <c r="AG22" s="256"/>
      <c r="AH22" s="256"/>
      <c r="AI22" s="256"/>
      <c r="AJ22" s="256"/>
      <c r="AK22" s="256"/>
      <c r="AL22" s="256"/>
      <c r="AM22" s="256"/>
      <c r="AN22" s="256"/>
      <c r="AO22" s="256"/>
      <c r="AP22" s="256"/>
      <c r="AQ22" s="256"/>
      <c r="AR22" s="256"/>
    </row>
    <row r="23" spans="1:44" s="252" customFormat="1" ht="12.75" customHeight="1" x14ac:dyDescent="0.2">
      <c r="A23" s="248">
        <f>EMISSIONS9!A23+1</f>
        <v>2029</v>
      </c>
      <c r="B23" s="249" t="s">
        <v>123</v>
      </c>
      <c r="C23" s="355"/>
      <c r="D23" s="241"/>
      <c r="E23" s="241"/>
      <c r="F23" s="250"/>
      <c r="G23" s="241"/>
      <c r="H23" s="251"/>
      <c r="I23" s="379">
        <f t="shared" ref="I23:Q23" si="12">SUM(I7:I22)</f>
        <v>0</v>
      </c>
      <c r="J23" s="412">
        <f t="shared" si="12"/>
        <v>0</v>
      </c>
      <c r="K23" s="413">
        <f t="shared" si="12"/>
        <v>0</v>
      </c>
      <c r="L23" s="253">
        <f t="shared" si="12"/>
        <v>0</v>
      </c>
      <c r="M23" s="253">
        <f t="shared" si="12"/>
        <v>0</v>
      </c>
      <c r="N23" s="253">
        <f t="shared" si="12"/>
        <v>0</v>
      </c>
      <c r="O23" s="253">
        <f t="shared" si="12"/>
        <v>0</v>
      </c>
      <c r="P23" s="253">
        <f t="shared" si="12"/>
        <v>0</v>
      </c>
      <c r="Q23" s="253">
        <f t="shared" si="12"/>
        <v>0</v>
      </c>
      <c r="R23" s="382">
        <f t="shared" ref="R23:Z23" si="13">SUM(R7:R22)</f>
        <v>0</v>
      </c>
      <c r="S23" s="412">
        <f t="shared" si="13"/>
        <v>0</v>
      </c>
      <c r="T23" s="413">
        <f t="shared" si="13"/>
        <v>0</v>
      </c>
      <c r="U23" s="253">
        <f t="shared" si="13"/>
        <v>0</v>
      </c>
      <c r="V23" s="253">
        <f t="shared" si="13"/>
        <v>0</v>
      </c>
      <c r="W23" s="253">
        <f t="shared" si="13"/>
        <v>0</v>
      </c>
      <c r="X23" s="253">
        <f t="shared" si="13"/>
        <v>0</v>
      </c>
      <c r="Y23" s="253">
        <f t="shared" si="13"/>
        <v>0</v>
      </c>
      <c r="Z23" s="261">
        <f t="shared" si="13"/>
        <v>0</v>
      </c>
      <c r="AA23" s="256"/>
      <c r="AB23" s="256"/>
      <c r="AC23" s="256"/>
      <c r="AD23" s="256"/>
      <c r="AE23" s="256"/>
      <c r="AF23" s="256"/>
      <c r="AG23" s="256"/>
      <c r="AH23" s="256"/>
      <c r="AI23" s="256"/>
      <c r="AJ23" s="256"/>
      <c r="AK23" s="256"/>
      <c r="AL23" s="256"/>
      <c r="AM23" s="256"/>
      <c r="AN23" s="256"/>
      <c r="AO23" s="256"/>
      <c r="AP23" s="256"/>
      <c r="AQ23" s="256"/>
      <c r="AR23" s="256"/>
    </row>
    <row r="24" spans="1:44" ht="26.1" customHeight="1" x14ac:dyDescent="0.2">
      <c r="A24" s="280" t="s">
        <v>66</v>
      </c>
      <c r="B24" s="76" t="s">
        <v>67</v>
      </c>
      <c r="C24" s="76"/>
      <c r="D24" s="70"/>
      <c r="E24" s="70"/>
      <c r="F24" s="71"/>
      <c r="G24" s="70"/>
      <c r="H24" s="119"/>
      <c r="I24" s="376"/>
      <c r="J24" s="421"/>
      <c r="K24" s="422"/>
      <c r="L24" s="285"/>
      <c r="M24" s="285"/>
      <c r="N24" s="285"/>
      <c r="O24" s="285"/>
      <c r="P24" s="285"/>
      <c r="Q24" s="120"/>
      <c r="R24" s="378">
        <f>33.3*$B$25</f>
        <v>0</v>
      </c>
      <c r="S24" s="417"/>
      <c r="T24" s="418"/>
      <c r="U24" s="288">
        <f>33.3*$B$25</f>
        <v>0</v>
      </c>
      <c r="V24" s="288">
        <f>33.3*$B$25</f>
        <v>0</v>
      </c>
      <c r="W24" s="288">
        <f>33.3*$B$25</f>
        <v>0</v>
      </c>
      <c r="X24" s="288"/>
      <c r="Y24" s="288">
        <f>3400*$B$25^(2/3)</f>
        <v>0</v>
      </c>
      <c r="Z24" s="289"/>
    </row>
    <row r="25" spans="1:44" s="276" customFormat="1" ht="12.75" customHeight="1" x14ac:dyDescent="0.2">
      <c r="A25" s="350"/>
      <c r="B25" s="137">
        <f>EMISSIONS1!B25</f>
        <v>0</v>
      </c>
      <c r="C25" s="137"/>
      <c r="D25" s="11"/>
      <c r="E25" s="11"/>
      <c r="F25" s="136"/>
      <c r="G25" s="11"/>
      <c r="H25" s="72"/>
      <c r="I25" s="321"/>
      <c r="J25" s="387"/>
      <c r="K25" s="416"/>
      <c r="L25" s="153"/>
      <c r="M25" s="153"/>
      <c r="N25" s="153"/>
      <c r="O25" s="153"/>
      <c r="P25" s="153"/>
      <c r="Q25" s="351"/>
      <c r="R25" s="352"/>
      <c r="S25" s="419"/>
      <c r="T25" s="420"/>
      <c r="U25" s="353"/>
      <c r="V25" s="353"/>
      <c r="W25" s="353"/>
      <c r="X25" s="353"/>
      <c r="Y25" s="353"/>
      <c r="Z25" s="354"/>
      <c r="AA25" s="275"/>
      <c r="AB25" s="275"/>
      <c r="AC25" s="275"/>
      <c r="AD25" s="275"/>
      <c r="AE25" s="275"/>
      <c r="AF25" s="275"/>
      <c r="AG25" s="275"/>
      <c r="AH25" s="275"/>
      <c r="AI25" s="275"/>
      <c r="AJ25" s="275"/>
      <c r="AK25" s="275"/>
      <c r="AL25" s="275"/>
      <c r="AM25" s="275"/>
      <c r="AN25" s="275"/>
      <c r="AO25" s="275"/>
      <c r="AP25" s="275"/>
      <c r="AQ25" s="275"/>
      <c r="AR25" s="275"/>
    </row>
    <row r="26" spans="1:44" s="183" customFormat="1" ht="12.75" customHeight="1" x14ac:dyDescent="0.2">
      <c r="A26" s="174" t="s">
        <v>61</v>
      </c>
      <c r="B26" s="175" t="s">
        <v>114</v>
      </c>
      <c r="C26" s="175"/>
      <c r="D26" s="176">
        <v>0</v>
      </c>
      <c r="E26" s="177">
        <f>FACTORS!$I$2*D26</f>
        <v>0</v>
      </c>
      <c r="F26" s="178">
        <f t="shared" ref="F26:F32" si="14">E26*24</f>
        <v>0</v>
      </c>
      <c r="G26" s="179">
        <v>0</v>
      </c>
      <c r="H26" s="180">
        <v>0</v>
      </c>
      <c r="I26" s="184">
        <f>FACTORS!$C$17*D26/453.592</f>
        <v>0</v>
      </c>
      <c r="J26" s="332">
        <f>FACTORS!$D$17*D26/453.592</f>
        <v>0</v>
      </c>
      <c r="K26" s="246">
        <f>FACTORS!$E$17*D26/453.592</f>
        <v>0</v>
      </c>
      <c r="L26" s="181">
        <f>FACTORS!$F$17*D26/453.592</f>
        <v>0</v>
      </c>
      <c r="M26" s="181">
        <f>FACTORS!$G$17*D26/453.592</f>
        <v>0</v>
      </c>
      <c r="N26" s="178">
        <f>FACTORS!$H$17*D26/453.592</f>
        <v>0</v>
      </c>
      <c r="O26" s="181">
        <f>FACTORS!$I$17*D26/453.592</f>
        <v>0</v>
      </c>
      <c r="P26" s="181">
        <f>FACTORS!$J$17*D26/453.592</f>
        <v>0</v>
      </c>
      <c r="Q26" s="191">
        <f>FACTORS!$K$17*D26/453.592</f>
        <v>0</v>
      </c>
      <c r="R26" s="184">
        <f t="shared" ref="R26:W32" si="15">IF(I26=0,0,I26*($F26/($E26*24))*$G26*$H26/2000)</f>
        <v>0</v>
      </c>
      <c r="S26" s="332">
        <f t="shared" si="15"/>
        <v>0</v>
      </c>
      <c r="T26" s="246">
        <f t="shared" si="15"/>
        <v>0</v>
      </c>
      <c r="U26" s="181">
        <f t="shared" si="15"/>
        <v>0</v>
      </c>
      <c r="V26" s="181">
        <f t="shared" si="15"/>
        <v>0</v>
      </c>
      <c r="W26" s="181">
        <f t="shared" si="15"/>
        <v>0</v>
      </c>
      <c r="X26" s="181">
        <f t="shared" ref="X26:X32" si="16">IFERROR(IF(O26=0,0,O26*($F26/($E26*24))*$G26*$H26/2000),"--")</f>
        <v>0</v>
      </c>
      <c r="Y26" s="181">
        <f t="shared" ref="Y26:Y32" si="17">IF(P26=0,0,P26*($F26/($E26*24))*$G26*$H26/2000)</f>
        <v>0</v>
      </c>
      <c r="Z26" s="182">
        <f t="shared" ref="Z26:Z32" si="18">IFERROR(IF(Q26=0,0,Q26*($F26/($E26*24))*$G26*$H26/2000),"--")</f>
        <v>0</v>
      </c>
      <c r="AA26" s="256"/>
      <c r="AB26" s="256"/>
      <c r="AC26" s="256"/>
      <c r="AD26" s="256"/>
      <c r="AE26" s="256"/>
      <c r="AF26" s="256"/>
      <c r="AG26" s="256"/>
      <c r="AH26" s="256"/>
      <c r="AI26" s="256"/>
      <c r="AJ26" s="256"/>
      <c r="AK26" s="256"/>
      <c r="AL26" s="256"/>
      <c r="AM26" s="256"/>
      <c r="AN26" s="256"/>
      <c r="AO26" s="256"/>
      <c r="AP26" s="256"/>
      <c r="AQ26" s="256"/>
      <c r="AR26" s="256"/>
    </row>
    <row r="27" spans="1:44" s="183" customFormat="1" x14ac:dyDescent="0.2">
      <c r="A27" s="174"/>
      <c r="B27" s="175" t="s">
        <v>115</v>
      </c>
      <c r="C27" s="175"/>
      <c r="D27" s="176">
        <v>0</v>
      </c>
      <c r="E27" s="177">
        <f>FACTORS!$I$2*D27</f>
        <v>0</v>
      </c>
      <c r="F27" s="178">
        <f t="shared" si="14"/>
        <v>0</v>
      </c>
      <c r="G27" s="176">
        <v>0</v>
      </c>
      <c r="H27" s="180">
        <v>0</v>
      </c>
      <c r="I27" s="184">
        <f>FACTORS!$C$17*D27/453.592</f>
        <v>0</v>
      </c>
      <c r="J27" s="181">
        <f>FACTORS!$D$17*D27/453.592</f>
        <v>0</v>
      </c>
      <c r="K27" s="246">
        <f>FACTORS!$E$17*D27/453.592</f>
        <v>0</v>
      </c>
      <c r="L27" s="181">
        <f>FACTORS!$F$17*D27/453.592</f>
        <v>0</v>
      </c>
      <c r="M27" s="181">
        <f>FACTORS!$G$17*D27/453.592</f>
        <v>0</v>
      </c>
      <c r="N27" s="178">
        <f>FACTORS!$H$17*D27/453.592</f>
        <v>0</v>
      </c>
      <c r="O27" s="181">
        <f>FACTORS!$I$17*D27/453.592</f>
        <v>0</v>
      </c>
      <c r="P27" s="181">
        <f>FACTORS!$J$17*D27/453.592</f>
        <v>0</v>
      </c>
      <c r="Q27" s="191">
        <f>FACTORS!$K$17*D27/453.592</f>
        <v>0</v>
      </c>
      <c r="R27" s="184">
        <f t="shared" si="15"/>
        <v>0</v>
      </c>
      <c r="S27" s="181">
        <f t="shared" si="15"/>
        <v>0</v>
      </c>
      <c r="T27" s="181">
        <f t="shared" si="15"/>
        <v>0</v>
      </c>
      <c r="U27" s="181">
        <f t="shared" si="15"/>
        <v>0</v>
      </c>
      <c r="V27" s="181">
        <f t="shared" si="15"/>
        <v>0</v>
      </c>
      <c r="W27" s="181">
        <f t="shared" si="15"/>
        <v>0</v>
      </c>
      <c r="X27" s="181">
        <f t="shared" si="16"/>
        <v>0</v>
      </c>
      <c r="Y27" s="181">
        <f t="shared" si="17"/>
        <v>0</v>
      </c>
      <c r="Z27" s="182">
        <f t="shared" si="18"/>
        <v>0</v>
      </c>
      <c r="AA27" s="256"/>
      <c r="AB27" s="256"/>
      <c r="AC27" s="256"/>
      <c r="AD27" s="256"/>
      <c r="AE27" s="256"/>
      <c r="AF27" s="256"/>
      <c r="AG27" s="256"/>
      <c r="AH27" s="256"/>
      <c r="AI27" s="256"/>
      <c r="AJ27" s="256"/>
      <c r="AK27" s="256"/>
      <c r="AL27" s="256"/>
      <c r="AM27" s="256"/>
      <c r="AN27" s="256"/>
      <c r="AO27" s="256"/>
      <c r="AP27" s="256"/>
      <c r="AQ27" s="256"/>
      <c r="AR27" s="256"/>
    </row>
    <row r="28" spans="1:44" s="183" customFormat="1" x14ac:dyDescent="0.2">
      <c r="A28" s="174"/>
      <c r="B28" s="175" t="s">
        <v>116</v>
      </c>
      <c r="C28" s="175"/>
      <c r="D28" s="176">
        <v>0</v>
      </c>
      <c r="E28" s="177">
        <f>FACTORS!$I$2*D28</f>
        <v>0</v>
      </c>
      <c r="F28" s="178">
        <f t="shared" si="14"/>
        <v>0</v>
      </c>
      <c r="G28" s="176">
        <v>0</v>
      </c>
      <c r="H28" s="180">
        <v>0</v>
      </c>
      <c r="I28" s="184">
        <f>FACTORS!$C$17*D28/453.592</f>
        <v>0</v>
      </c>
      <c r="J28" s="181">
        <f>FACTORS!$D$17*D28/453.592</f>
        <v>0</v>
      </c>
      <c r="K28" s="246">
        <f>FACTORS!$E$17*D28/453.592</f>
        <v>0</v>
      </c>
      <c r="L28" s="181">
        <f>FACTORS!$F$17*D28/453.592</f>
        <v>0</v>
      </c>
      <c r="M28" s="181">
        <f>FACTORS!$G$17*D28/453.592</f>
        <v>0</v>
      </c>
      <c r="N28" s="178">
        <f>FACTORS!$H$17*D28/453.592</f>
        <v>0</v>
      </c>
      <c r="O28" s="181">
        <f>FACTORS!$I$17*D28/453.592</f>
        <v>0</v>
      </c>
      <c r="P28" s="181">
        <f>FACTORS!$J$17*D28/453.592</f>
        <v>0</v>
      </c>
      <c r="Q28" s="191">
        <f>FACTORS!$K$17*D28/453.592</f>
        <v>0</v>
      </c>
      <c r="R28" s="184">
        <f t="shared" si="15"/>
        <v>0</v>
      </c>
      <c r="S28" s="181">
        <f t="shared" si="15"/>
        <v>0</v>
      </c>
      <c r="T28" s="181">
        <f t="shared" si="15"/>
        <v>0</v>
      </c>
      <c r="U28" s="181">
        <f t="shared" si="15"/>
        <v>0</v>
      </c>
      <c r="V28" s="181">
        <f t="shared" si="15"/>
        <v>0</v>
      </c>
      <c r="W28" s="181">
        <f t="shared" si="15"/>
        <v>0</v>
      </c>
      <c r="X28" s="181">
        <f t="shared" si="16"/>
        <v>0</v>
      </c>
      <c r="Y28" s="181">
        <f t="shared" si="17"/>
        <v>0</v>
      </c>
      <c r="Z28" s="182">
        <f t="shared" si="18"/>
        <v>0</v>
      </c>
      <c r="AA28" s="256"/>
      <c r="AB28" s="256"/>
      <c r="AC28" s="256"/>
      <c r="AD28" s="256"/>
      <c r="AE28" s="256"/>
      <c r="AF28" s="256"/>
      <c r="AG28" s="256"/>
      <c r="AH28" s="256"/>
      <c r="AI28" s="256"/>
      <c r="AJ28" s="256"/>
      <c r="AK28" s="256"/>
      <c r="AL28" s="256"/>
      <c r="AM28" s="256"/>
      <c r="AN28" s="256"/>
      <c r="AO28" s="256"/>
      <c r="AP28" s="256"/>
      <c r="AQ28" s="256"/>
      <c r="AR28" s="256"/>
    </row>
    <row r="29" spans="1:44" s="183" customFormat="1" ht="12.75" customHeight="1" x14ac:dyDescent="0.2">
      <c r="A29" s="174" t="s">
        <v>63</v>
      </c>
      <c r="B29" s="175" t="s">
        <v>118</v>
      </c>
      <c r="C29" s="175"/>
      <c r="D29" s="176">
        <v>0</v>
      </c>
      <c r="E29" s="177">
        <f>FACTORS!$I$2*D29</f>
        <v>0</v>
      </c>
      <c r="F29" s="178">
        <f t="shared" si="14"/>
        <v>0</v>
      </c>
      <c r="G29" s="179">
        <v>0</v>
      </c>
      <c r="H29" s="180">
        <v>0</v>
      </c>
      <c r="I29" s="184">
        <f>FACTORS!$C$17*D29/453.592</f>
        <v>0</v>
      </c>
      <c r="J29" s="181">
        <f>FACTORS!$D$17*D29/453.592</f>
        <v>0</v>
      </c>
      <c r="K29" s="246">
        <f>FACTORS!$E$17*D29/453.592</f>
        <v>0</v>
      </c>
      <c r="L29" s="181">
        <f>FACTORS!$F$17*D29/453.592</f>
        <v>0</v>
      </c>
      <c r="M29" s="181">
        <f>FACTORS!$G$17*D29/453.592</f>
        <v>0</v>
      </c>
      <c r="N29" s="178">
        <f>FACTORS!$H$17*D29/453.592</f>
        <v>0</v>
      </c>
      <c r="O29" s="181">
        <f>FACTORS!$I$17*D29/453.592</f>
        <v>0</v>
      </c>
      <c r="P29" s="181">
        <f>FACTORS!$J$17*D29/453.592</f>
        <v>0</v>
      </c>
      <c r="Q29" s="191">
        <f>FACTORS!$K$17*D29/453.592</f>
        <v>0</v>
      </c>
      <c r="R29" s="184">
        <f t="shared" si="15"/>
        <v>0</v>
      </c>
      <c r="S29" s="181">
        <f t="shared" si="15"/>
        <v>0</v>
      </c>
      <c r="T29" s="181">
        <f t="shared" si="15"/>
        <v>0</v>
      </c>
      <c r="U29" s="181">
        <f t="shared" si="15"/>
        <v>0</v>
      </c>
      <c r="V29" s="181">
        <f t="shared" si="15"/>
        <v>0</v>
      </c>
      <c r="W29" s="181">
        <f t="shared" si="15"/>
        <v>0</v>
      </c>
      <c r="X29" s="181">
        <f t="shared" si="16"/>
        <v>0</v>
      </c>
      <c r="Y29" s="181">
        <f t="shared" si="17"/>
        <v>0</v>
      </c>
      <c r="Z29" s="182">
        <f t="shared" si="18"/>
        <v>0</v>
      </c>
      <c r="AA29" s="256"/>
      <c r="AB29" s="256"/>
      <c r="AC29" s="256"/>
      <c r="AD29" s="256"/>
      <c r="AE29" s="256"/>
      <c r="AF29" s="256"/>
      <c r="AG29" s="256"/>
      <c r="AH29" s="256"/>
      <c r="AI29" s="256"/>
      <c r="AJ29" s="256"/>
      <c r="AK29" s="256"/>
      <c r="AL29" s="256"/>
      <c r="AM29" s="256"/>
      <c r="AN29" s="256"/>
      <c r="AO29" s="256"/>
      <c r="AP29" s="256"/>
      <c r="AQ29" s="256"/>
      <c r="AR29" s="256"/>
    </row>
    <row r="30" spans="1:44" s="183" customFormat="1" ht="12.75" customHeight="1" x14ac:dyDescent="0.2">
      <c r="A30" s="174" t="s">
        <v>62</v>
      </c>
      <c r="B30" s="175" t="s">
        <v>117</v>
      </c>
      <c r="C30" s="175"/>
      <c r="D30" s="176">
        <v>0</v>
      </c>
      <c r="E30" s="177">
        <f>FACTORS!$I$2*D30</f>
        <v>0</v>
      </c>
      <c r="F30" s="178">
        <f t="shared" si="14"/>
        <v>0</v>
      </c>
      <c r="G30" s="179">
        <v>0</v>
      </c>
      <c r="H30" s="180">
        <v>0</v>
      </c>
      <c r="I30" s="184">
        <f>FACTORS!$C$17*D30/453.592</f>
        <v>0</v>
      </c>
      <c r="J30" s="181">
        <f>FACTORS!$D$17*D30/453.592</f>
        <v>0</v>
      </c>
      <c r="K30" s="246">
        <f>FACTORS!$E$17*D30/453.592</f>
        <v>0</v>
      </c>
      <c r="L30" s="181">
        <f>FACTORS!$F$17*D30/453.592</f>
        <v>0</v>
      </c>
      <c r="M30" s="181">
        <f>FACTORS!$G$17*D30/453.592</f>
        <v>0</v>
      </c>
      <c r="N30" s="178">
        <f>FACTORS!$H$17*D30/453.592</f>
        <v>0</v>
      </c>
      <c r="O30" s="181">
        <f>FACTORS!$I$17*D30/453.592</f>
        <v>0</v>
      </c>
      <c r="P30" s="181">
        <f>FACTORS!$J$17*D30/453.592</f>
        <v>0</v>
      </c>
      <c r="Q30" s="191">
        <f>FACTORS!$K$17*D30/453.592</f>
        <v>0</v>
      </c>
      <c r="R30" s="184">
        <f t="shared" si="15"/>
        <v>0</v>
      </c>
      <c r="S30" s="181">
        <f t="shared" si="15"/>
        <v>0</v>
      </c>
      <c r="T30" s="181">
        <f t="shared" si="15"/>
        <v>0</v>
      </c>
      <c r="U30" s="181">
        <f t="shared" si="15"/>
        <v>0</v>
      </c>
      <c r="V30" s="181">
        <f t="shared" si="15"/>
        <v>0</v>
      </c>
      <c r="W30" s="181">
        <f t="shared" si="15"/>
        <v>0</v>
      </c>
      <c r="X30" s="181">
        <f t="shared" si="16"/>
        <v>0</v>
      </c>
      <c r="Y30" s="181">
        <f t="shared" si="17"/>
        <v>0</v>
      </c>
      <c r="Z30" s="182">
        <f t="shared" si="18"/>
        <v>0</v>
      </c>
      <c r="AA30" s="256"/>
      <c r="AB30" s="256"/>
      <c r="AC30" s="256"/>
      <c r="AD30" s="256"/>
      <c r="AE30" s="256"/>
      <c r="AF30" s="256"/>
      <c r="AG30" s="256"/>
      <c r="AH30" s="256"/>
      <c r="AI30" s="256"/>
      <c r="AJ30" s="256"/>
      <c r="AK30" s="256"/>
      <c r="AL30" s="256"/>
      <c r="AM30" s="256"/>
      <c r="AN30" s="256"/>
      <c r="AO30" s="256"/>
      <c r="AP30" s="256"/>
      <c r="AQ30" s="256"/>
      <c r="AR30" s="256"/>
    </row>
    <row r="31" spans="1:44" s="183" customFormat="1" x14ac:dyDescent="0.2">
      <c r="A31" s="174"/>
      <c r="B31" s="175" t="s">
        <v>115</v>
      </c>
      <c r="C31" s="175"/>
      <c r="D31" s="176">
        <v>0</v>
      </c>
      <c r="E31" s="177">
        <f>FACTORS!$I$2*D31</f>
        <v>0</v>
      </c>
      <c r="F31" s="178">
        <f t="shared" si="14"/>
        <v>0</v>
      </c>
      <c r="G31" s="176">
        <v>0</v>
      </c>
      <c r="H31" s="180">
        <v>0</v>
      </c>
      <c r="I31" s="184">
        <f>FACTORS!$C$17*D31/453.592</f>
        <v>0</v>
      </c>
      <c r="J31" s="181">
        <f>FACTORS!$D$17*D31/453.592</f>
        <v>0</v>
      </c>
      <c r="K31" s="246">
        <f>FACTORS!$E$17*D31/453.592</f>
        <v>0</v>
      </c>
      <c r="L31" s="181">
        <f>FACTORS!$F$17*D31/453.592</f>
        <v>0</v>
      </c>
      <c r="M31" s="181">
        <f>FACTORS!$G$17*D31/453.592</f>
        <v>0</v>
      </c>
      <c r="N31" s="178">
        <f>FACTORS!$H$17*D31/453.592</f>
        <v>0</v>
      </c>
      <c r="O31" s="181">
        <f>FACTORS!$I$17*D31/453.592</f>
        <v>0</v>
      </c>
      <c r="P31" s="181">
        <f>FACTORS!$J$17*D31/453.592</f>
        <v>0</v>
      </c>
      <c r="Q31" s="191">
        <f>FACTORS!$K$17*D31/453.592</f>
        <v>0</v>
      </c>
      <c r="R31" s="184">
        <f t="shared" si="15"/>
        <v>0</v>
      </c>
      <c r="S31" s="181">
        <f t="shared" si="15"/>
        <v>0</v>
      </c>
      <c r="T31" s="181">
        <f t="shared" si="15"/>
        <v>0</v>
      </c>
      <c r="U31" s="181">
        <f t="shared" si="15"/>
        <v>0</v>
      </c>
      <c r="V31" s="181">
        <f t="shared" si="15"/>
        <v>0</v>
      </c>
      <c r="W31" s="181">
        <f t="shared" si="15"/>
        <v>0</v>
      </c>
      <c r="X31" s="181">
        <f t="shared" si="16"/>
        <v>0</v>
      </c>
      <c r="Y31" s="181">
        <f t="shared" si="17"/>
        <v>0</v>
      </c>
      <c r="Z31" s="182">
        <f t="shared" si="18"/>
        <v>0</v>
      </c>
      <c r="AA31" s="256"/>
      <c r="AB31" s="256"/>
      <c r="AC31" s="256"/>
      <c r="AD31" s="256"/>
      <c r="AE31" s="256"/>
      <c r="AF31" s="256"/>
      <c r="AG31" s="256"/>
      <c r="AH31" s="256"/>
      <c r="AI31" s="256"/>
      <c r="AJ31" s="256"/>
      <c r="AK31" s="256"/>
      <c r="AL31" s="256"/>
      <c r="AM31" s="256"/>
      <c r="AN31" s="256"/>
      <c r="AO31" s="256"/>
      <c r="AP31" s="256"/>
      <c r="AQ31" s="256"/>
      <c r="AR31" s="256"/>
    </row>
    <row r="32" spans="1:44" s="183" customFormat="1" ht="12.75" customHeight="1" x14ac:dyDescent="0.2">
      <c r="A32" s="339" t="s">
        <v>64</v>
      </c>
      <c r="B32" s="340" t="s">
        <v>119</v>
      </c>
      <c r="C32" s="340"/>
      <c r="D32" s="341">
        <v>0</v>
      </c>
      <c r="E32" s="342">
        <f>FACTORS!$I$2*D32</f>
        <v>0</v>
      </c>
      <c r="F32" s="343">
        <f t="shared" si="14"/>
        <v>0</v>
      </c>
      <c r="G32" s="344">
        <v>0</v>
      </c>
      <c r="H32" s="345">
        <v>0</v>
      </c>
      <c r="I32" s="346">
        <f>FACTORS!$C$17*D32/453.592</f>
        <v>0</v>
      </c>
      <c r="J32" s="347">
        <f>FACTORS!$D$17*D32/453.592</f>
        <v>0</v>
      </c>
      <c r="K32" s="427">
        <f>FACTORS!$E$17*D32/453.592</f>
        <v>0</v>
      </c>
      <c r="L32" s="347">
        <f>FACTORS!$F$17*D32/453.592</f>
        <v>0</v>
      </c>
      <c r="M32" s="347">
        <f>FACTORS!$G$17*D32/453.592</f>
        <v>0</v>
      </c>
      <c r="N32" s="343">
        <f>FACTORS!$H$17*D32/453.592</f>
        <v>0</v>
      </c>
      <c r="O32" s="347">
        <f>FACTORS!$I$17*D32/453.592</f>
        <v>0</v>
      </c>
      <c r="P32" s="347">
        <f>FACTORS!$J$17*D32/453.592</f>
        <v>0</v>
      </c>
      <c r="Q32" s="348">
        <f>FACTORS!$K$17*D32/453.592</f>
        <v>0</v>
      </c>
      <c r="R32" s="346">
        <f t="shared" si="15"/>
        <v>0</v>
      </c>
      <c r="S32" s="347">
        <f t="shared" si="15"/>
        <v>0</v>
      </c>
      <c r="T32" s="347">
        <f>IF(K32=0,0,K32*($F32/($E32*24))*$G32*$H32/2000)</f>
        <v>0</v>
      </c>
      <c r="U32" s="347">
        <f t="shared" si="15"/>
        <v>0</v>
      </c>
      <c r="V32" s="347">
        <f t="shared" si="15"/>
        <v>0</v>
      </c>
      <c r="W32" s="347">
        <f t="shared" si="15"/>
        <v>0</v>
      </c>
      <c r="X32" s="347">
        <f t="shared" si="16"/>
        <v>0</v>
      </c>
      <c r="Y32" s="347">
        <f t="shared" si="17"/>
        <v>0</v>
      </c>
      <c r="Z32" s="349">
        <f t="shared" si="18"/>
        <v>0</v>
      </c>
      <c r="AA32" s="256"/>
      <c r="AB32" s="256"/>
      <c r="AC32" s="256"/>
      <c r="AD32" s="256"/>
      <c r="AE32" s="256"/>
      <c r="AF32" s="256"/>
      <c r="AG32" s="256"/>
      <c r="AH32" s="256"/>
      <c r="AI32" s="256"/>
      <c r="AJ32" s="256"/>
      <c r="AK32" s="256"/>
      <c r="AL32" s="256"/>
      <c r="AM32" s="256"/>
      <c r="AN32" s="256"/>
      <c r="AO32" s="256"/>
      <c r="AP32" s="256"/>
      <c r="AQ32" s="256"/>
      <c r="AR32" s="256"/>
    </row>
    <row r="33" spans="1:44" ht="27.75" customHeight="1" x14ac:dyDescent="0.2">
      <c r="A33" s="361" t="s">
        <v>184</v>
      </c>
      <c r="B33" s="363" t="s">
        <v>107</v>
      </c>
      <c r="C33" s="111"/>
      <c r="D33" s="122"/>
      <c r="E33" s="42" t="s">
        <v>53</v>
      </c>
      <c r="F33" s="43" t="s">
        <v>54</v>
      </c>
      <c r="G33" s="50"/>
      <c r="H33" s="119"/>
      <c r="I33" s="158"/>
      <c r="J33" s="387"/>
      <c r="K33" s="416"/>
      <c r="L33" s="153"/>
      <c r="M33" s="153"/>
      <c r="N33" s="73"/>
      <c r="O33" s="153"/>
      <c r="P33" s="153"/>
      <c r="Q33" s="120"/>
      <c r="R33" s="158"/>
      <c r="S33" s="387"/>
      <c r="T33" s="387"/>
      <c r="U33" s="153"/>
      <c r="V33" s="153"/>
      <c r="W33" s="153"/>
      <c r="X33" s="153"/>
      <c r="Y33" s="153"/>
      <c r="Z33" s="322"/>
    </row>
    <row r="34" spans="1:44" ht="12.75" customHeight="1" x14ac:dyDescent="0.2">
      <c r="A34" s="330"/>
      <c r="B34" s="364" t="s">
        <v>148</v>
      </c>
      <c r="C34" s="333"/>
      <c r="D34" s="334" t="s">
        <v>132</v>
      </c>
      <c r="E34" s="74"/>
      <c r="F34" s="74"/>
      <c r="G34" s="335"/>
      <c r="H34" s="336"/>
      <c r="I34" s="337"/>
      <c r="J34" s="423"/>
      <c r="K34" s="424"/>
      <c r="L34" s="68"/>
      <c r="M34" s="68"/>
      <c r="N34" s="329"/>
      <c r="O34" s="68"/>
      <c r="P34" s="68"/>
      <c r="Q34" s="338"/>
      <c r="R34" s="337"/>
      <c r="S34" s="423"/>
      <c r="T34" s="423"/>
      <c r="U34" s="68"/>
      <c r="V34" s="68"/>
      <c r="W34" s="68"/>
      <c r="X34" s="68"/>
      <c r="Y34" s="68"/>
      <c r="Z34" s="69"/>
    </row>
    <row r="35" spans="1:44" ht="12.75" customHeight="1" x14ac:dyDescent="0.2">
      <c r="A35" s="330"/>
      <c r="B35" s="363" t="s">
        <v>160</v>
      </c>
      <c r="C35" s="157"/>
      <c r="D35" s="122" t="s">
        <v>100</v>
      </c>
      <c r="E35" s="74"/>
      <c r="F35" s="74"/>
      <c r="G35" s="70" t="s">
        <v>60</v>
      </c>
      <c r="H35" s="119" t="s">
        <v>71</v>
      </c>
      <c r="I35" s="158"/>
      <c r="J35" s="387"/>
      <c r="K35" s="416"/>
      <c r="L35" s="153"/>
      <c r="M35" s="153"/>
      <c r="N35" s="73"/>
      <c r="O35" s="153"/>
      <c r="P35" s="153"/>
      <c r="Q35" s="120"/>
      <c r="R35" s="319"/>
      <c r="S35" s="423"/>
      <c r="T35" s="424"/>
      <c r="U35" s="68"/>
      <c r="V35" s="68"/>
      <c r="W35" s="68"/>
      <c r="X35" s="68"/>
      <c r="Y35" s="68"/>
      <c r="Z35" s="69"/>
    </row>
    <row r="36" spans="1:44" s="183" customFormat="1" ht="12.75" customHeight="1" x14ac:dyDescent="0.2">
      <c r="A36" s="174"/>
      <c r="B36" s="242" t="s">
        <v>153</v>
      </c>
      <c r="C36" s="323"/>
      <c r="D36" s="244"/>
      <c r="E36" s="176">
        <v>0</v>
      </c>
      <c r="F36" s="245">
        <f>E36*24</f>
        <v>0</v>
      </c>
      <c r="G36" s="176">
        <v>0</v>
      </c>
      <c r="H36" s="180">
        <v>0</v>
      </c>
      <c r="I36" s="184">
        <f>IFERROR(FACTORS!$C$34*E36,"--")</f>
        <v>0</v>
      </c>
      <c r="J36" s="181">
        <f>IFERROR(FACTORS!$D$34*E36,"--")</f>
        <v>0</v>
      </c>
      <c r="K36" s="246">
        <f>IFERROR(FACTORS!$E$34*E36,"--")</f>
        <v>0</v>
      </c>
      <c r="L36" s="178">
        <f>IFERROR(FACTORS!$F$34*E36,"--")</f>
        <v>0</v>
      </c>
      <c r="M36" s="178">
        <f>IFERROR(FACTORS!$G$34*E36,"--")</f>
        <v>0</v>
      </c>
      <c r="N36" s="178">
        <f>IFERROR(FACTORS!$H$34*E36,"--")</f>
        <v>0</v>
      </c>
      <c r="O36" s="181" t="str">
        <f>IFERROR(FACTORS!$I$34*E36,"--")</f>
        <v>--</v>
      </c>
      <c r="P36" s="181">
        <f>IFERROR(FACTORS!$J$34*E36,"--")</f>
        <v>0</v>
      </c>
      <c r="Q36" s="191">
        <f>IFERROR(FACTORS!$K$34*E36,"--")</f>
        <v>0</v>
      </c>
      <c r="R36" s="331">
        <f t="shared" ref="R36:S42" si="19">IFERROR((I36*$G36*$H36)/2000, "")</f>
        <v>0</v>
      </c>
      <c r="S36" s="332">
        <f>IFERROR((J36*$G36*$H36)/2000, "")</f>
        <v>0</v>
      </c>
      <c r="T36" s="317">
        <f t="shared" ref="T36:W43" si="20">IFERROR((K36*$G36*$H36)/2000, "")</f>
        <v>0</v>
      </c>
      <c r="U36" s="317">
        <f t="shared" si="20"/>
        <v>0</v>
      </c>
      <c r="V36" s="317">
        <f t="shared" si="20"/>
        <v>0</v>
      </c>
      <c r="W36" s="317">
        <f t="shared" si="20"/>
        <v>0</v>
      </c>
      <c r="X36" s="317" t="str">
        <f t="shared" ref="X36:X43" si="21">IFERROR((O36*$G36*$H36)/2000, "--")</f>
        <v>--</v>
      </c>
      <c r="Y36" s="317">
        <f t="shared" ref="Y36:Z43" si="22">IFERROR((P36*$G36*$H36)/2000, "")</f>
        <v>0</v>
      </c>
      <c r="Z36" s="318">
        <f t="shared" si="22"/>
        <v>0</v>
      </c>
      <c r="AA36" s="256"/>
      <c r="AB36" s="256"/>
      <c r="AC36" s="256"/>
      <c r="AD36" s="256"/>
      <c r="AE36" s="256"/>
      <c r="AF36" s="256"/>
      <c r="AG36" s="256"/>
      <c r="AH36" s="256"/>
      <c r="AI36" s="256"/>
      <c r="AJ36" s="256"/>
      <c r="AK36" s="256"/>
      <c r="AL36" s="256"/>
      <c r="AM36" s="256"/>
      <c r="AN36" s="256"/>
      <c r="AO36" s="256"/>
      <c r="AP36" s="256"/>
      <c r="AQ36" s="256"/>
      <c r="AR36" s="256"/>
    </row>
    <row r="37" spans="1:44" s="183" customFormat="1" ht="12.75" customHeight="1" x14ac:dyDescent="0.2">
      <c r="A37" s="174"/>
      <c r="B37" s="242" t="s">
        <v>87</v>
      </c>
      <c r="C37" s="243"/>
      <c r="D37" s="244"/>
      <c r="E37" s="176">
        <v>0</v>
      </c>
      <c r="F37" s="245">
        <f>E37*24</f>
        <v>0</v>
      </c>
      <c r="G37" s="176">
        <v>0</v>
      </c>
      <c r="H37" s="180">
        <v>0</v>
      </c>
      <c r="I37" s="184">
        <f>IFERROR(FACTORS!$C$35*E37,"--")</f>
        <v>0</v>
      </c>
      <c r="J37" s="181">
        <f>IFERROR(FACTORS!$D$35*E37,"--")</f>
        <v>0</v>
      </c>
      <c r="K37" s="246">
        <f>IFERROR(FACTORS!$E$35*E37,"--")</f>
        <v>0</v>
      </c>
      <c r="L37" s="178">
        <f>IFERROR(FACTORS!$F$35*E37,"--")</f>
        <v>0</v>
      </c>
      <c r="M37" s="178">
        <f>IFERROR(FACTORS!$G$35*E37,"--")</f>
        <v>0</v>
      </c>
      <c r="N37" s="178">
        <f>IFERROR(FACTORS!$H$35*E37,"--")</f>
        <v>0</v>
      </c>
      <c r="O37" s="181" t="str">
        <f>IFERROR(FACTORS!$I$35*E37,"--")</f>
        <v>--</v>
      </c>
      <c r="P37" s="181">
        <f>IFERROR(FACTORS!$J$35*E37,"--")</f>
        <v>0</v>
      </c>
      <c r="Q37" s="191">
        <f>IFERROR(FACTORS!$K$35*E37,"--")</f>
        <v>0</v>
      </c>
      <c r="R37" s="184">
        <f t="shared" si="19"/>
        <v>0</v>
      </c>
      <c r="S37" s="181">
        <f t="shared" si="19"/>
        <v>0</v>
      </c>
      <c r="T37" s="246">
        <f t="shared" si="20"/>
        <v>0</v>
      </c>
      <c r="U37" s="246">
        <f t="shared" si="20"/>
        <v>0</v>
      </c>
      <c r="V37" s="246">
        <f t="shared" si="20"/>
        <v>0</v>
      </c>
      <c r="W37" s="246">
        <f t="shared" si="20"/>
        <v>0</v>
      </c>
      <c r="X37" s="246" t="str">
        <f t="shared" si="21"/>
        <v>--</v>
      </c>
      <c r="Y37" s="246">
        <f t="shared" si="22"/>
        <v>0</v>
      </c>
      <c r="Z37" s="182">
        <f t="shared" si="22"/>
        <v>0</v>
      </c>
      <c r="AA37" s="256"/>
      <c r="AB37" s="256"/>
      <c r="AC37" s="256"/>
      <c r="AD37" s="256"/>
      <c r="AE37" s="256"/>
      <c r="AF37" s="256"/>
      <c r="AG37" s="256"/>
      <c r="AH37" s="256"/>
      <c r="AI37" s="256"/>
      <c r="AJ37" s="256"/>
      <c r="AK37" s="256"/>
      <c r="AL37" s="256"/>
      <c r="AM37" s="256"/>
      <c r="AN37" s="256"/>
      <c r="AO37" s="256"/>
      <c r="AP37" s="256"/>
      <c r="AQ37" s="256"/>
      <c r="AR37" s="256"/>
    </row>
    <row r="38" spans="1:44" s="183" customFormat="1" ht="12.75" customHeight="1" x14ac:dyDescent="0.2">
      <c r="A38" s="174"/>
      <c r="B38" s="242" t="s">
        <v>102</v>
      </c>
      <c r="C38" s="243"/>
      <c r="D38" s="244"/>
      <c r="E38" s="176">
        <v>0</v>
      </c>
      <c r="F38" s="245">
        <f t="shared" ref="F38:F41" si="23">E38*24</f>
        <v>0</v>
      </c>
      <c r="G38" s="176">
        <v>0</v>
      </c>
      <c r="H38" s="180">
        <v>0</v>
      </c>
      <c r="I38" s="184">
        <f>IFERROR(FACTORS!$C$36*E38,"--")</f>
        <v>0</v>
      </c>
      <c r="J38" s="181">
        <f>IFERROR(FACTORS!$D$36*E38,"--")</f>
        <v>0</v>
      </c>
      <c r="K38" s="246">
        <f>IFERROR(FACTORS!$E$36*E38,"--")</f>
        <v>0</v>
      </c>
      <c r="L38" s="178">
        <f>IFERROR(FACTORS!$F$36*E38,"--")</f>
        <v>0</v>
      </c>
      <c r="M38" s="178">
        <f>IFERROR(FACTORS!$G$36*E38,"--")</f>
        <v>0</v>
      </c>
      <c r="N38" s="178">
        <f>IFERROR(FACTORS!$H$36*E38,"--")</f>
        <v>0</v>
      </c>
      <c r="O38" s="181" t="str">
        <f>IFERROR(FACTORS!$I$36*E38,"--")</f>
        <v>--</v>
      </c>
      <c r="P38" s="181">
        <f>IFERROR(FACTORS!$J$36*E38,"--")</f>
        <v>0</v>
      </c>
      <c r="Q38" s="191">
        <f>IFERROR(FACTORS!$K$36*E38,"--")</f>
        <v>0</v>
      </c>
      <c r="R38" s="184">
        <f t="shared" si="19"/>
        <v>0</v>
      </c>
      <c r="S38" s="181">
        <f t="shared" si="19"/>
        <v>0</v>
      </c>
      <c r="T38" s="246">
        <f t="shared" si="20"/>
        <v>0</v>
      </c>
      <c r="U38" s="246">
        <f t="shared" si="20"/>
        <v>0</v>
      </c>
      <c r="V38" s="246">
        <f t="shared" si="20"/>
        <v>0</v>
      </c>
      <c r="W38" s="246">
        <f t="shared" si="20"/>
        <v>0</v>
      </c>
      <c r="X38" s="246" t="str">
        <f t="shared" si="21"/>
        <v>--</v>
      </c>
      <c r="Y38" s="246">
        <f t="shared" si="22"/>
        <v>0</v>
      </c>
      <c r="Z38" s="182">
        <f t="shared" si="22"/>
        <v>0</v>
      </c>
      <c r="AA38" s="256"/>
      <c r="AB38" s="256"/>
      <c r="AC38" s="256"/>
      <c r="AD38" s="256"/>
      <c r="AE38" s="256"/>
      <c r="AF38" s="256"/>
      <c r="AG38" s="256"/>
      <c r="AH38" s="256"/>
      <c r="AI38" s="256"/>
      <c r="AJ38" s="256"/>
      <c r="AK38" s="256"/>
      <c r="AL38" s="256"/>
      <c r="AM38" s="256"/>
      <c r="AN38" s="256"/>
      <c r="AO38" s="256"/>
      <c r="AP38" s="256"/>
      <c r="AQ38" s="256"/>
      <c r="AR38" s="256"/>
    </row>
    <row r="39" spans="1:44" s="183" customFormat="1" ht="12.75" customHeight="1" x14ac:dyDescent="0.2">
      <c r="A39" s="174"/>
      <c r="B39" s="242" t="s">
        <v>154</v>
      </c>
      <c r="C39" s="243"/>
      <c r="D39" s="244"/>
      <c r="E39" s="176">
        <v>0</v>
      </c>
      <c r="F39" s="245">
        <f t="shared" si="23"/>
        <v>0</v>
      </c>
      <c r="G39" s="176">
        <v>0</v>
      </c>
      <c r="H39" s="180">
        <v>0</v>
      </c>
      <c r="I39" s="184">
        <f>IFERROR(FACTORS!$C$37*E39,"--")</f>
        <v>0</v>
      </c>
      <c r="J39" s="181">
        <f>IFERROR(FACTORS!$D$37*E39,"--")</f>
        <v>0</v>
      </c>
      <c r="K39" s="246">
        <f>IFERROR(FACTORS!$E$37*E39,"--")</f>
        <v>0</v>
      </c>
      <c r="L39" s="178">
        <f>IFERROR(FACTORS!$F$37*E39,"--")</f>
        <v>0</v>
      </c>
      <c r="M39" s="178">
        <f>IFERROR(FACTORS!$G$37*E39,"--")</f>
        <v>0</v>
      </c>
      <c r="N39" s="178">
        <f>IFERROR(FACTORS!$H$37*E39,"--")</f>
        <v>0</v>
      </c>
      <c r="O39" s="181" t="str">
        <f>IFERROR(FACTORS!$I$37*E39,"--")</f>
        <v>--</v>
      </c>
      <c r="P39" s="181">
        <f>IFERROR(FACTORS!$J$37*E39,"--")</f>
        <v>0</v>
      </c>
      <c r="Q39" s="191">
        <f>IFERROR(FACTORS!$K$37*E39,"--")</f>
        <v>0</v>
      </c>
      <c r="R39" s="184">
        <f t="shared" si="19"/>
        <v>0</v>
      </c>
      <c r="S39" s="181">
        <f t="shared" si="19"/>
        <v>0</v>
      </c>
      <c r="T39" s="246">
        <f t="shared" si="20"/>
        <v>0</v>
      </c>
      <c r="U39" s="246">
        <f t="shared" si="20"/>
        <v>0</v>
      </c>
      <c r="V39" s="246">
        <f t="shared" si="20"/>
        <v>0</v>
      </c>
      <c r="W39" s="246">
        <f t="shared" si="20"/>
        <v>0</v>
      </c>
      <c r="X39" s="246" t="str">
        <f t="shared" si="21"/>
        <v>--</v>
      </c>
      <c r="Y39" s="246">
        <f t="shared" si="22"/>
        <v>0</v>
      </c>
      <c r="Z39" s="182">
        <f t="shared" si="22"/>
        <v>0</v>
      </c>
      <c r="AA39" s="256"/>
      <c r="AB39" s="256"/>
      <c r="AC39" s="256"/>
      <c r="AD39" s="256"/>
      <c r="AE39" s="256"/>
      <c r="AF39" s="256"/>
      <c r="AG39" s="256"/>
      <c r="AH39" s="256"/>
      <c r="AI39" s="256"/>
      <c r="AJ39" s="256"/>
      <c r="AK39" s="256"/>
      <c r="AL39" s="256"/>
      <c r="AM39" s="256"/>
      <c r="AN39" s="256"/>
      <c r="AO39" s="256"/>
      <c r="AP39" s="256"/>
      <c r="AQ39" s="256"/>
      <c r="AR39" s="256"/>
    </row>
    <row r="40" spans="1:44" s="183" customFormat="1" ht="12.75" customHeight="1" x14ac:dyDescent="0.2">
      <c r="A40" s="174"/>
      <c r="B40" s="242" t="s">
        <v>89</v>
      </c>
      <c r="C40" s="243"/>
      <c r="D40" s="244"/>
      <c r="E40" s="176">
        <v>0</v>
      </c>
      <c r="F40" s="245">
        <f t="shared" si="23"/>
        <v>0</v>
      </c>
      <c r="G40" s="176">
        <v>0</v>
      </c>
      <c r="H40" s="180">
        <v>0</v>
      </c>
      <c r="I40" s="184">
        <f>IFERROR(FACTORS!$C$38*E40,"--")</f>
        <v>0</v>
      </c>
      <c r="J40" s="181">
        <f>IFERROR(FACTORS!$D$38*E40,"--")</f>
        <v>0</v>
      </c>
      <c r="K40" s="246">
        <f>IFERROR(FACTORS!$E$38*E40,"--")</f>
        <v>0</v>
      </c>
      <c r="L40" s="178">
        <f>IFERROR(FACTORS!$F$38*E40,"--")</f>
        <v>0</v>
      </c>
      <c r="M40" s="178">
        <f>IFERROR(FACTORS!$G$38*E40,"--")</f>
        <v>0</v>
      </c>
      <c r="N40" s="178">
        <f>IFERROR(FACTORS!$H$38*E40,"--")</f>
        <v>0</v>
      </c>
      <c r="O40" s="181" t="str">
        <f>IFERROR(FACTORS!$I$38*E40,"--")</f>
        <v>--</v>
      </c>
      <c r="P40" s="181">
        <f>IFERROR(FACTORS!$J$38*E40,"--")</f>
        <v>0</v>
      </c>
      <c r="Q40" s="191">
        <f>IFERROR(FACTORS!$K$38*E40,"--")</f>
        <v>0</v>
      </c>
      <c r="R40" s="184">
        <f t="shared" si="19"/>
        <v>0</v>
      </c>
      <c r="S40" s="181">
        <f t="shared" si="19"/>
        <v>0</v>
      </c>
      <c r="T40" s="246">
        <f t="shared" si="20"/>
        <v>0</v>
      </c>
      <c r="U40" s="246">
        <f t="shared" si="20"/>
        <v>0</v>
      </c>
      <c r="V40" s="246">
        <f t="shared" si="20"/>
        <v>0</v>
      </c>
      <c r="W40" s="246">
        <f t="shared" si="20"/>
        <v>0</v>
      </c>
      <c r="X40" s="246" t="str">
        <f t="shared" si="21"/>
        <v>--</v>
      </c>
      <c r="Y40" s="246">
        <f t="shared" si="22"/>
        <v>0</v>
      </c>
      <c r="Z40" s="182">
        <f t="shared" si="22"/>
        <v>0</v>
      </c>
      <c r="AA40" s="256"/>
      <c r="AB40" s="256"/>
      <c r="AC40" s="256"/>
      <c r="AD40" s="256"/>
      <c r="AE40" s="256"/>
      <c r="AF40" s="256"/>
      <c r="AG40" s="256"/>
      <c r="AH40" s="256"/>
      <c r="AI40" s="256"/>
      <c r="AJ40" s="256"/>
      <c r="AK40" s="256"/>
      <c r="AL40" s="256"/>
      <c r="AM40" s="256"/>
      <c r="AN40" s="256"/>
      <c r="AO40" s="256"/>
      <c r="AP40" s="256"/>
      <c r="AQ40" s="256"/>
      <c r="AR40" s="256"/>
    </row>
    <row r="41" spans="1:44" s="183" customFormat="1" ht="12.75" customHeight="1" x14ac:dyDescent="0.2">
      <c r="A41" s="174"/>
      <c r="B41" s="242" t="s">
        <v>103</v>
      </c>
      <c r="C41" s="243"/>
      <c r="D41" s="244"/>
      <c r="E41" s="176">
        <v>0</v>
      </c>
      <c r="F41" s="245">
        <f t="shared" si="23"/>
        <v>0</v>
      </c>
      <c r="G41" s="176">
        <v>0</v>
      </c>
      <c r="H41" s="180">
        <v>0</v>
      </c>
      <c r="I41" s="184">
        <f>IFERROR(FACTORS!$C$39*E41,"--")</f>
        <v>0</v>
      </c>
      <c r="J41" s="181">
        <f>IFERROR(FACTORS!$D$39*E41,"--")</f>
        <v>0</v>
      </c>
      <c r="K41" s="246">
        <f>IFERROR(FACTORS!$E$39*E41,"--")</f>
        <v>0</v>
      </c>
      <c r="L41" s="178">
        <f>IFERROR(FACTORS!$F$39*E41,"--")</f>
        <v>0</v>
      </c>
      <c r="M41" s="178">
        <f>IFERROR(FACTORS!$G$39*E41,"--")</f>
        <v>0</v>
      </c>
      <c r="N41" s="178">
        <f>IFERROR(FACTORS!$H$39*E41,"--")</f>
        <v>0</v>
      </c>
      <c r="O41" s="181" t="str">
        <f>IFERROR(FACTORS!$I$39*E41,"--")</f>
        <v>--</v>
      </c>
      <c r="P41" s="181">
        <f>IFERROR(FACTORS!$J$39*E41,"--")</f>
        <v>0</v>
      </c>
      <c r="Q41" s="191">
        <f>IFERROR(FACTORS!$K$39*E41,"--")</f>
        <v>0</v>
      </c>
      <c r="R41" s="184">
        <f t="shared" si="19"/>
        <v>0</v>
      </c>
      <c r="S41" s="181">
        <f t="shared" si="19"/>
        <v>0</v>
      </c>
      <c r="T41" s="246">
        <f t="shared" si="20"/>
        <v>0</v>
      </c>
      <c r="U41" s="246">
        <f t="shared" si="20"/>
        <v>0</v>
      </c>
      <c r="V41" s="246">
        <f t="shared" si="20"/>
        <v>0</v>
      </c>
      <c r="W41" s="246">
        <f t="shared" si="20"/>
        <v>0</v>
      </c>
      <c r="X41" s="246" t="str">
        <f t="shared" si="21"/>
        <v>--</v>
      </c>
      <c r="Y41" s="246">
        <f t="shared" si="22"/>
        <v>0</v>
      </c>
      <c r="Z41" s="182">
        <f t="shared" si="22"/>
        <v>0</v>
      </c>
      <c r="AA41" s="256"/>
      <c r="AB41" s="256"/>
      <c r="AC41" s="256"/>
      <c r="AD41" s="256"/>
      <c r="AE41" s="256"/>
      <c r="AF41" s="256"/>
      <c r="AG41" s="256"/>
      <c r="AH41" s="256"/>
      <c r="AI41" s="256"/>
      <c r="AJ41" s="256"/>
      <c r="AK41" s="256"/>
      <c r="AL41" s="256"/>
      <c r="AM41" s="256"/>
      <c r="AN41" s="256"/>
      <c r="AO41" s="256"/>
      <c r="AP41" s="256"/>
      <c r="AQ41" s="256"/>
      <c r="AR41" s="256"/>
    </row>
    <row r="42" spans="1:44" s="183" customFormat="1" ht="12.75" customHeight="1" x14ac:dyDescent="0.2">
      <c r="A42" s="174"/>
      <c r="B42" s="242" t="s">
        <v>91</v>
      </c>
      <c r="C42" s="243"/>
      <c r="D42" s="176">
        <v>0</v>
      </c>
      <c r="E42" s="74"/>
      <c r="F42" s="74"/>
      <c r="G42" s="179">
        <v>0</v>
      </c>
      <c r="H42" s="180">
        <v>0</v>
      </c>
      <c r="I42" s="184">
        <f>(FACTORS!$C$40*D42*2000)/24</f>
        <v>0</v>
      </c>
      <c r="J42" s="181">
        <f>(FACTORS!$D$40*D42*2000)/24</f>
        <v>0</v>
      </c>
      <c r="K42" s="246">
        <f>(FACTORS!$E$40*D42*2000)/24</f>
        <v>0</v>
      </c>
      <c r="L42" s="178">
        <f>(FACTORS!$F$40*D42*2000)/24</f>
        <v>0</v>
      </c>
      <c r="M42" s="178">
        <f>(FACTORS!$G$40*D42*2000)/24</f>
        <v>0</v>
      </c>
      <c r="N42" s="178">
        <f>(FACTORS!$H$40*D42*2000)/24</f>
        <v>0</v>
      </c>
      <c r="O42" s="181" t="str">
        <f>IFERROR((FACTORS!$I$40*D42*2000)/24,"--")</f>
        <v>--</v>
      </c>
      <c r="P42" s="181">
        <f>IFERROR((FACTORS!$J$40*D42*2000)/24,"--")</f>
        <v>0</v>
      </c>
      <c r="Q42" s="191" t="str">
        <f>IFERROR((FACTORS!$K$40*D42*2000)/24,"--")</f>
        <v>--</v>
      </c>
      <c r="R42" s="184">
        <f t="shared" si="19"/>
        <v>0</v>
      </c>
      <c r="S42" s="181">
        <f t="shared" si="19"/>
        <v>0</v>
      </c>
      <c r="T42" s="246">
        <f t="shared" si="20"/>
        <v>0</v>
      </c>
      <c r="U42" s="246">
        <f t="shared" si="20"/>
        <v>0</v>
      </c>
      <c r="V42" s="246">
        <f t="shared" si="20"/>
        <v>0</v>
      </c>
      <c r="W42" s="246">
        <f t="shared" si="20"/>
        <v>0</v>
      </c>
      <c r="X42" s="246" t="str">
        <f t="shared" si="21"/>
        <v>--</v>
      </c>
      <c r="Y42" s="246">
        <f t="shared" si="22"/>
        <v>0</v>
      </c>
      <c r="Z42" s="182" t="str">
        <f t="shared" si="22"/>
        <v/>
      </c>
      <c r="AA42" s="256"/>
      <c r="AB42" s="256"/>
      <c r="AC42" s="256"/>
      <c r="AD42" s="256"/>
      <c r="AE42" s="256"/>
      <c r="AF42" s="256"/>
      <c r="AG42" s="256"/>
      <c r="AH42" s="256"/>
      <c r="AI42" s="256"/>
      <c r="AJ42" s="256"/>
      <c r="AK42" s="256"/>
      <c r="AL42" s="256"/>
      <c r="AM42" s="256"/>
      <c r="AN42" s="256"/>
      <c r="AO42" s="256"/>
      <c r="AP42" s="256"/>
      <c r="AQ42" s="256"/>
      <c r="AR42" s="256"/>
    </row>
    <row r="43" spans="1:44" s="183" customFormat="1" ht="12.75" customHeight="1" x14ac:dyDescent="0.2">
      <c r="A43" s="174"/>
      <c r="B43" s="274" t="s">
        <v>133</v>
      </c>
      <c r="C43" s="242"/>
      <c r="D43" s="185">
        <v>0</v>
      </c>
      <c r="E43" s="74"/>
      <c r="F43" s="74"/>
      <c r="G43" s="185">
        <v>0</v>
      </c>
      <c r="H43" s="186">
        <v>0</v>
      </c>
      <c r="I43" s="187">
        <f>FACTORS!$C$42*D43/453.592</f>
        <v>0</v>
      </c>
      <c r="J43" s="192">
        <f>FACTORS!$D$42*D43/453.592</f>
        <v>0</v>
      </c>
      <c r="K43" s="189">
        <f>FACTORS!$E$42*D43/453.592</f>
        <v>0</v>
      </c>
      <c r="L43" s="192">
        <f>FACTORS!$F$42*D43/453.592</f>
        <v>0</v>
      </c>
      <c r="M43" s="192">
        <f>FACTORS!$G$42*D43/453.592</f>
        <v>0</v>
      </c>
      <c r="N43" s="188">
        <f>FACTORS!$H$42*D43/453.592</f>
        <v>0</v>
      </c>
      <c r="O43" s="192">
        <f>IFERROR(FACTORS!$I$42*D43/453.592, "--")</f>
        <v>0</v>
      </c>
      <c r="P43" s="192">
        <f>FACTORS!$J$42*D43/453.592</f>
        <v>0</v>
      </c>
      <c r="Q43" s="193">
        <f>FACTORS!$K$42*D43/453.592</f>
        <v>0</v>
      </c>
      <c r="R43" s="187">
        <f>IFERROR((I43*$G43*$H43)/2000, "")</f>
        <v>0</v>
      </c>
      <c r="S43" s="192">
        <f>IFERROR((J43*$G43*$H43)/2000, "")</f>
        <v>0</v>
      </c>
      <c r="T43" s="189">
        <f>IFERROR((K43*$G43*$H43)/2000, "")</f>
        <v>0</v>
      </c>
      <c r="U43" s="189">
        <f t="shared" si="20"/>
        <v>0</v>
      </c>
      <c r="V43" s="189">
        <f t="shared" si="20"/>
        <v>0</v>
      </c>
      <c r="W43" s="189">
        <f t="shared" si="20"/>
        <v>0</v>
      </c>
      <c r="X43" s="189">
        <f t="shared" si="21"/>
        <v>0</v>
      </c>
      <c r="Y43" s="189">
        <f t="shared" si="22"/>
        <v>0</v>
      </c>
      <c r="Z43" s="190">
        <f t="shared" si="22"/>
        <v>0</v>
      </c>
      <c r="AA43" s="256"/>
      <c r="AB43" s="256"/>
      <c r="AC43" s="256"/>
      <c r="AD43" s="256"/>
      <c r="AE43" s="256"/>
      <c r="AF43" s="256"/>
      <c r="AG43" s="256"/>
      <c r="AH43" s="256"/>
      <c r="AI43" s="256"/>
      <c r="AJ43" s="256"/>
      <c r="AK43" s="256"/>
      <c r="AL43" s="256"/>
      <c r="AM43" s="256"/>
      <c r="AN43" s="256"/>
      <c r="AO43" s="256"/>
      <c r="AP43" s="256"/>
      <c r="AQ43" s="256"/>
      <c r="AR43" s="256"/>
    </row>
    <row r="44" spans="1:44" s="247" customFormat="1" ht="12.75" customHeight="1" x14ac:dyDescent="0.2">
      <c r="A44" s="286">
        <f>A23</f>
        <v>2029</v>
      </c>
      <c r="B44" s="287" t="s">
        <v>124</v>
      </c>
      <c r="C44" s="431"/>
      <c r="D44" s="281"/>
      <c r="E44" s="281"/>
      <c r="F44" s="282"/>
      <c r="G44" s="281"/>
      <c r="H44" s="283"/>
      <c r="I44" s="380">
        <f t="shared" ref="I44:Z44" si="24">SUM(I26:I43)</f>
        <v>0</v>
      </c>
      <c r="J44" s="428">
        <f t="shared" si="24"/>
        <v>0</v>
      </c>
      <c r="K44" s="429">
        <f t="shared" si="24"/>
        <v>0</v>
      </c>
      <c r="L44" s="284">
        <f t="shared" si="24"/>
        <v>0</v>
      </c>
      <c r="M44" s="284">
        <f t="shared" si="24"/>
        <v>0</v>
      </c>
      <c r="N44" s="284">
        <f t="shared" si="24"/>
        <v>0</v>
      </c>
      <c r="O44" s="284">
        <f t="shared" si="24"/>
        <v>0</v>
      </c>
      <c r="P44" s="284">
        <f t="shared" si="24"/>
        <v>0</v>
      </c>
      <c r="Q44" s="290">
        <f t="shared" si="24"/>
        <v>0</v>
      </c>
      <c r="R44" s="383">
        <f t="shared" si="24"/>
        <v>0</v>
      </c>
      <c r="S44" s="291">
        <f t="shared" si="24"/>
        <v>0</v>
      </c>
      <c r="T44" s="430">
        <f t="shared" si="24"/>
        <v>0</v>
      </c>
      <c r="U44" s="291">
        <f t="shared" si="24"/>
        <v>0</v>
      </c>
      <c r="V44" s="291">
        <f t="shared" si="24"/>
        <v>0</v>
      </c>
      <c r="W44" s="291">
        <f t="shared" si="24"/>
        <v>0</v>
      </c>
      <c r="X44" s="291">
        <f t="shared" si="24"/>
        <v>0</v>
      </c>
      <c r="Y44" s="291">
        <f t="shared" si="24"/>
        <v>0</v>
      </c>
      <c r="Z44" s="292">
        <f t="shared" si="24"/>
        <v>0</v>
      </c>
      <c r="AA44" s="256"/>
      <c r="AB44" s="256"/>
      <c r="AC44" s="256"/>
      <c r="AD44" s="256"/>
      <c r="AE44" s="256"/>
      <c r="AF44" s="256"/>
      <c r="AG44" s="256"/>
      <c r="AH44" s="256"/>
      <c r="AI44" s="256"/>
      <c r="AJ44" s="256"/>
      <c r="AK44" s="256"/>
      <c r="AL44" s="256"/>
      <c r="AM44" s="256"/>
      <c r="AN44" s="256"/>
      <c r="AO44" s="256"/>
      <c r="AP44" s="256"/>
      <c r="AQ44" s="256"/>
      <c r="AR44" s="256"/>
    </row>
    <row r="45" spans="1:44" ht="12.75" customHeight="1" x14ac:dyDescent="0.2">
      <c r="A45" s="77"/>
      <c r="B45" s="13"/>
      <c r="C45" s="13"/>
    </row>
    <row r="46" spans="1:44" ht="12.75" customHeight="1" x14ac:dyDescent="0.2">
      <c r="A46" s="77"/>
      <c r="B46" s="13"/>
      <c r="C46" s="13"/>
    </row>
    <row r="47" spans="1:44" ht="12.75" customHeight="1" x14ac:dyDescent="0.2">
      <c r="A47" s="77"/>
      <c r="B47" s="13"/>
      <c r="C47" s="13"/>
    </row>
    <row r="48" spans="1:44" ht="12.75" customHeight="1" x14ac:dyDescent="0.2">
      <c r="A48" s="2"/>
      <c r="B48" s="2"/>
      <c r="C48" s="2"/>
      <c r="D48" s="2"/>
      <c r="E48" s="2"/>
      <c r="F48" s="2"/>
      <c r="G48" s="2"/>
      <c r="H48" s="2"/>
      <c r="I48" s="2"/>
      <c r="J48" s="2"/>
      <c r="K48" s="2"/>
      <c r="L48" s="2"/>
      <c r="M48" s="2"/>
      <c r="N48" s="2"/>
      <c r="O48" s="2"/>
      <c r="P48" s="2"/>
      <c r="Q48" s="2"/>
      <c r="R48" s="2"/>
      <c r="S48" s="2"/>
      <c r="T48" s="2"/>
      <c r="U48" s="2"/>
      <c r="V48" s="2"/>
      <c r="W48" s="2"/>
      <c r="X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0"/>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16"/>
      <c r="Z52" s="20"/>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16"/>
      <c r="Z53" s="20"/>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16"/>
      <c r="Z54" s="19"/>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17"/>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13"/>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13"/>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13"/>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13"/>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13"/>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13"/>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13"/>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13"/>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13"/>
    </row>
    <row r="65" spans="1:25"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13"/>
    </row>
    <row r="66" spans="1:25"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13"/>
    </row>
    <row r="67" spans="1:25"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13"/>
    </row>
    <row r="68" spans="1:25"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13"/>
    </row>
    <row r="69" spans="1:25"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13"/>
    </row>
    <row r="70" spans="1:25"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13"/>
    </row>
    <row r="71" spans="1:25"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13"/>
    </row>
    <row r="72" spans="1:25"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18"/>
    </row>
    <row r="73" spans="1:25"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18"/>
    </row>
    <row r="74" spans="1:25"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18"/>
    </row>
    <row r="75" spans="1:25"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18"/>
    </row>
    <row r="76" spans="1:25"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13"/>
    </row>
    <row r="77" spans="1:25"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13"/>
    </row>
    <row r="78" spans="1:25"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13"/>
    </row>
    <row r="79" spans="1:25"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13"/>
    </row>
    <row r="80" spans="1:25"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13"/>
    </row>
    <row r="81" spans="1:25"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3"/>
    </row>
    <row r="82" spans="1:25"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row>
    <row r="83" spans="1:25"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row>
    <row r="84" spans="1:25"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row>
    <row r="85" spans="1:25"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row>
    <row r="86" spans="1:25"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row>
    <row r="87" spans="1:25"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row>
    <row r="88" spans="1:25"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row>
    <row r="89" spans="1:25"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row>
    <row r="90" spans="1:25"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row>
    <row r="91" spans="1:25"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row>
    <row r="92" spans="1:25"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row>
    <row r="93" spans="1:25"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row>
    <row r="94" spans="1:25"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row>
    <row r="95" spans="1:25"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row>
    <row r="96" spans="1:25"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18"/>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13"/>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13"/>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13"/>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13"/>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13"/>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13"/>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13"/>
    </row>
    <row r="128" spans="1:25" ht="12.75" customHeight="1" x14ac:dyDescent="0.2">
      <c r="Y128" s="13"/>
    </row>
    <row r="129" spans="25:26" ht="12.75" customHeight="1" x14ac:dyDescent="0.2">
      <c r="Y129" s="18"/>
      <c r="Z129" s="19"/>
    </row>
    <row r="130" spans="25:26" ht="12.75" customHeight="1" x14ac:dyDescent="0.2">
      <c r="Y130" s="21"/>
    </row>
    <row r="131" spans="25:26" ht="12.75" customHeight="1" x14ac:dyDescent="0.2">
      <c r="Y131" s="18"/>
    </row>
    <row r="132" spans="25:26" ht="12.75" customHeight="1" x14ac:dyDescent="0.2">
      <c r="Y132" s="13"/>
      <c r="Z132" s="19"/>
    </row>
    <row r="133" spans="25:26" ht="12.75" customHeight="1" x14ac:dyDescent="0.2">
      <c r="Y133" s="22"/>
    </row>
    <row r="141" spans="25:26" ht="12.75" customHeight="1" x14ac:dyDescent="0.2">
      <c r="Z141" s="20"/>
    </row>
    <row r="142" spans="25:26" ht="12.75" customHeight="1" x14ac:dyDescent="0.2">
      <c r="Y142" s="16"/>
      <c r="Z142" s="20"/>
    </row>
    <row r="143" spans="25:26" ht="12.75" customHeight="1" x14ac:dyDescent="0.2">
      <c r="Y143" s="16"/>
      <c r="Z143" s="20"/>
    </row>
    <row r="144" spans="25:26" ht="12.75" customHeight="1" x14ac:dyDescent="0.2">
      <c r="Y144" s="16"/>
      <c r="Z144" s="19"/>
    </row>
    <row r="145" spans="25:25" ht="12.75" customHeight="1" x14ac:dyDescent="0.2">
      <c r="Y145" s="17"/>
    </row>
    <row r="146" spans="25:25" ht="12.75" customHeight="1" x14ac:dyDescent="0.2">
      <c r="Y146" s="13"/>
    </row>
    <row r="147" spans="25:25" ht="12.75" customHeight="1" x14ac:dyDescent="0.2">
      <c r="Y147" s="13"/>
    </row>
    <row r="148" spans="25:25" ht="12.75" customHeight="1" x14ac:dyDescent="0.2">
      <c r="Y148" s="13"/>
    </row>
    <row r="149" spans="25:25" ht="12.75" customHeight="1" x14ac:dyDescent="0.2">
      <c r="Y149" s="13"/>
    </row>
    <row r="150" spans="25:25" ht="12.75" customHeight="1" x14ac:dyDescent="0.2">
      <c r="Y150" s="13"/>
    </row>
    <row r="151" spans="25:25" ht="12.75" customHeight="1" x14ac:dyDescent="0.2">
      <c r="Y151" s="13"/>
    </row>
    <row r="152" spans="25:25" ht="12.75" customHeight="1" x14ac:dyDescent="0.2">
      <c r="Y152" s="13"/>
    </row>
    <row r="153" spans="25:25" ht="12.75" customHeight="1" x14ac:dyDescent="0.2">
      <c r="Y153" s="13"/>
    </row>
    <row r="154" spans="25:25" ht="12.75" customHeight="1" x14ac:dyDescent="0.2">
      <c r="Y154" s="13"/>
    </row>
    <row r="155" spans="25:25" ht="12.75" customHeight="1" x14ac:dyDescent="0.2">
      <c r="Y155" s="13"/>
    </row>
    <row r="156" spans="25:25" ht="12.75" customHeight="1" x14ac:dyDescent="0.2">
      <c r="Y156" s="13"/>
    </row>
    <row r="157" spans="25:25" ht="12.75" customHeight="1" x14ac:dyDescent="0.2">
      <c r="Y157" s="13"/>
    </row>
    <row r="158" spans="25:25" ht="12.75" customHeight="1" x14ac:dyDescent="0.2">
      <c r="Y158" s="13"/>
    </row>
    <row r="159" spans="25:25" ht="12.75" customHeight="1" x14ac:dyDescent="0.2">
      <c r="Y159" s="13"/>
    </row>
    <row r="160" spans="25:25" ht="12.75" customHeight="1" x14ac:dyDescent="0.2">
      <c r="Y160" s="13"/>
    </row>
    <row r="161" spans="25:26" ht="12.75" customHeight="1" x14ac:dyDescent="0.2">
      <c r="Y161" s="13"/>
    </row>
    <row r="162" spans="25:26" ht="12.75" customHeight="1" x14ac:dyDescent="0.2">
      <c r="Y162" s="18"/>
    </row>
    <row r="163" spans="25:26" ht="12.75" customHeight="1" x14ac:dyDescent="0.2">
      <c r="Y163" s="18"/>
    </row>
    <row r="164" spans="25:26" ht="12.75" customHeight="1" x14ac:dyDescent="0.2">
      <c r="Y164" s="18"/>
    </row>
    <row r="165" spans="25:26" ht="12.75" customHeight="1" x14ac:dyDescent="0.2">
      <c r="Y165" s="18"/>
    </row>
    <row r="166" spans="25:26" ht="12.75" customHeight="1" x14ac:dyDescent="0.2">
      <c r="Y166" s="13"/>
    </row>
    <row r="167" spans="25:26" ht="12.75" customHeight="1" x14ac:dyDescent="0.2">
      <c r="Y167" s="13"/>
    </row>
    <row r="168" spans="25:26" ht="12.75" customHeight="1" x14ac:dyDescent="0.2">
      <c r="Y168" s="13"/>
    </row>
    <row r="169" spans="25:26" ht="12.75" customHeight="1" x14ac:dyDescent="0.2">
      <c r="Y169" s="13"/>
    </row>
    <row r="170" spans="25:26" ht="12.75" customHeight="1" x14ac:dyDescent="0.2">
      <c r="Y170" s="13"/>
    </row>
    <row r="171" spans="25:26" ht="12.75" customHeight="1" x14ac:dyDescent="0.2">
      <c r="Y171" s="13"/>
    </row>
    <row r="172" spans="25:26" ht="12.75" customHeight="1" x14ac:dyDescent="0.2">
      <c r="Y172" s="13"/>
    </row>
    <row r="173" spans="25:26" ht="12.75" customHeight="1" x14ac:dyDescent="0.2">
      <c r="Y173" s="13"/>
    </row>
    <row r="174" spans="25:26" ht="12.75" customHeight="1" x14ac:dyDescent="0.2">
      <c r="Y174" s="18"/>
      <c r="Z174" s="19"/>
    </row>
    <row r="175" spans="25:26" ht="12.75" customHeight="1" x14ac:dyDescent="0.2">
      <c r="Y175" s="21"/>
    </row>
    <row r="176" spans="25:26" ht="12.75" customHeight="1" x14ac:dyDescent="0.2">
      <c r="Y176" s="18"/>
    </row>
    <row r="177" spans="25:26" ht="12.75" customHeight="1" x14ac:dyDescent="0.2">
      <c r="Y177" s="13"/>
      <c r="Z177" s="19"/>
    </row>
    <row r="178" spans="25:26" ht="12.75" customHeight="1" x14ac:dyDescent="0.2">
      <c r="Y178"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- 10TH YEAR</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pageSetUpPr fitToPage="1"/>
  </sheetPr>
  <dimension ref="A1:J112"/>
  <sheetViews>
    <sheetView view="pageLayout" zoomScaleNormal="100" zoomScaleSheetLayoutView="85" workbookViewId="0">
      <selection activeCell="D20" sqref="D20"/>
    </sheetView>
  </sheetViews>
  <sheetFormatPr defaultColWidth="10.5703125" defaultRowHeight="13.5" customHeight="1" x14ac:dyDescent="0.2"/>
  <cols>
    <col min="1" max="16384" width="10.5703125" style="2"/>
  </cols>
  <sheetData>
    <row r="1" spans="1:10" ht="13.5" customHeight="1" thickBot="1" x14ac:dyDescent="0.25">
      <c r="A1" s="479" t="s">
        <v>1</v>
      </c>
      <c r="B1" s="480"/>
      <c r="C1" s="78" t="s">
        <v>2</v>
      </c>
      <c r="D1" s="78" t="s">
        <v>3</v>
      </c>
      <c r="E1" s="78" t="s">
        <v>68</v>
      </c>
      <c r="F1" s="78" t="s">
        <v>63</v>
      </c>
      <c r="G1" s="78" t="s">
        <v>7</v>
      </c>
      <c r="H1" s="78"/>
    </row>
    <row r="2" spans="1:10" ht="13.5" customHeight="1" thickBot="1" x14ac:dyDescent="0.25">
      <c r="A2" s="477">
        <f>TITLE!$C$1</f>
        <v>0</v>
      </c>
      <c r="B2" s="478"/>
      <c r="C2" s="31" t="str">
        <f>TITLE!$C$3</f>
        <v xml:space="preserve">   </v>
      </c>
      <c r="D2" s="31" t="str">
        <f>TITLE!$C$4</f>
        <v xml:space="preserve">  </v>
      </c>
      <c r="E2" s="31" t="str">
        <f>TITLE!$C$5</f>
        <v xml:space="preserve"> </v>
      </c>
      <c r="F2" s="31" t="str">
        <f>TITLE!$C$6</f>
        <v xml:space="preserve">    </v>
      </c>
      <c r="G2" s="31"/>
      <c r="H2" s="31"/>
    </row>
    <row r="3" spans="1:10" ht="13.5" customHeight="1" thickTop="1" x14ac:dyDescent="0.2">
      <c r="A3" s="79"/>
      <c r="B3" s="105"/>
      <c r="C3" s="80"/>
      <c r="D3" s="80"/>
      <c r="E3" s="80"/>
      <c r="F3" s="80" t="s">
        <v>122</v>
      </c>
      <c r="G3" s="80"/>
      <c r="H3" s="80"/>
      <c r="I3" s="80"/>
      <c r="J3" s="81"/>
    </row>
    <row r="4" spans="1:10" ht="13.5" customHeight="1" thickBot="1" x14ac:dyDescent="0.25">
      <c r="A4" s="82" t="s">
        <v>69</v>
      </c>
      <c r="B4" s="83"/>
      <c r="C4" s="83"/>
      <c r="D4" s="83"/>
      <c r="E4" s="83"/>
      <c r="F4" s="83"/>
      <c r="G4" s="83"/>
      <c r="H4" s="83"/>
      <c r="I4" s="83"/>
      <c r="J4" s="84"/>
    </row>
    <row r="5" spans="1:10" ht="13.5" customHeight="1" thickTop="1" x14ac:dyDescent="0.2">
      <c r="A5" s="82"/>
      <c r="B5" s="85"/>
      <c r="C5" s="85"/>
      <c r="D5" s="85"/>
      <c r="E5" s="85"/>
      <c r="F5" s="85"/>
      <c r="G5" s="85"/>
      <c r="H5" s="96"/>
      <c r="I5" s="103"/>
      <c r="J5" s="86"/>
    </row>
    <row r="6" spans="1:10" ht="13.5" customHeight="1" thickBot="1" x14ac:dyDescent="0.25">
      <c r="A6" s="87" t="s">
        <v>0</v>
      </c>
      <c r="B6" s="88" t="s">
        <v>199</v>
      </c>
      <c r="C6" s="88" t="s">
        <v>197</v>
      </c>
      <c r="D6" s="88" t="s">
        <v>198</v>
      </c>
      <c r="E6" s="88" t="s">
        <v>23</v>
      </c>
      <c r="F6" s="88" t="s">
        <v>24</v>
      </c>
      <c r="G6" s="88" t="s">
        <v>25</v>
      </c>
      <c r="H6" s="88" t="s">
        <v>72</v>
      </c>
      <c r="I6" s="104" t="s">
        <v>26</v>
      </c>
      <c r="J6" s="102" t="s">
        <v>80</v>
      </c>
    </row>
    <row r="7" spans="1:10" ht="13.5" customHeight="1" thickTop="1" x14ac:dyDescent="0.2">
      <c r="A7" s="315">
        <f>EMISSIONS1!A$23</f>
        <v>2020</v>
      </c>
      <c r="B7" s="316">
        <f>EMISSIONS1!R$23</f>
        <v>0</v>
      </c>
      <c r="C7" s="316">
        <f>EMISSIONS1!S$23</f>
        <v>0</v>
      </c>
      <c r="D7" s="316">
        <f>EMISSIONS1!T$23</f>
        <v>0</v>
      </c>
      <c r="E7" s="316">
        <f>EMISSIONS1!$U$23</f>
        <v>0</v>
      </c>
      <c r="F7" s="316">
        <f>EMISSIONS1!$V$23</f>
        <v>0</v>
      </c>
      <c r="G7" s="316">
        <f>EMISSIONS1!$W$23</f>
        <v>0</v>
      </c>
      <c r="H7" s="316">
        <f>EMISSIONS1!$X$23</f>
        <v>0</v>
      </c>
      <c r="I7" s="316">
        <f>EMISSIONS1!$Y$23</f>
        <v>0</v>
      </c>
      <c r="J7" s="316">
        <f>EMISSIONS1!$Z$23</f>
        <v>0</v>
      </c>
    </row>
    <row r="8" spans="1:10" ht="13.5" customHeight="1" x14ac:dyDescent="0.2">
      <c r="A8" s="315">
        <f>EMISSIONS2!A$23</f>
        <v>2021</v>
      </c>
      <c r="B8" s="316">
        <f>EMISSIONS2!R$23</f>
        <v>0</v>
      </c>
      <c r="C8" s="316">
        <f>EMISSIONS2!S$23</f>
        <v>0</v>
      </c>
      <c r="D8" s="316">
        <f>EMISSIONS2!T$23</f>
        <v>0</v>
      </c>
      <c r="E8" s="316">
        <f>EMISSIONS2!U$23</f>
        <v>0</v>
      </c>
      <c r="F8" s="316">
        <f>EMISSIONS2!V$23</f>
        <v>0</v>
      </c>
      <c r="G8" s="316">
        <f>EMISSIONS2!W$23</f>
        <v>0</v>
      </c>
      <c r="H8" s="316">
        <f>EMISSIONS2!X$23</f>
        <v>0</v>
      </c>
      <c r="I8" s="316">
        <f>EMISSIONS2!Y$23</f>
        <v>0</v>
      </c>
      <c r="J8" s="316">
        <f>EMISSIONS2!Z$23</f>
        <v>0</v>
      </c>
    </row>
    <row r="9" spans="1:10" ht="13.5" customHeight="1" x14ac:dyDescent="0.2">
      <c r="A9" s="315">
        <f>EMISSIONS3!A$23</f>
        <v>2022</v>
      </c>
      <c r="B9" s="316">
        <f>EMISSIONS3!R$23</f>
        <v>0</v>
      </c>
      <c r="C9" s="316">
        <f>EMISSIONS3!S$23</f>
        <v>0</v>
      </c>
      <c r="D9" s="316">
        <f>EMISSIONS3!T$23</f>
        <v>0</v>
      </c>
      <c r="E9" s="316">
        <f>EMISSIONS3!U$23</f>
        <v>0</v>
      </c>
      <c r="F9" s="316">
        <f>EMISSIONS3!V$23</f>
        <v>0</v>
      </c>
      <c r="G9" s="316">
        <f>EMISSIONS3!W$23</f>
        <v>0</v>
      </c>
      <c r="H9" s="316">
        <f>EMISSIONS3!X$23</f>
        <v>0</v>
      </c>
      <c r="I9" s="316">
        <f>EMISSIONS3!Y$23</f>
        <v>0</v>
      </c>
      <c r="J9" s="316">
        <f>EMISSIONS3!Z$23</f>
        <v>0</v>
      </c>
    </row>
    <row r="10" spans="1:10" ht="13.5" customHeight="1" x14ac:dyDescent="0.2">
      <c r="A10" s="315">
        <f>EMISSIONS4!A$23</f>
        <v>2023</v>
      </c>
      <c r="B10" s="316">
        <f>EMISSIONS4!R$23</f>
        <v>0</v>
      </c>
      <c r="C10" s="316">
        <f>EMISSIONS4!S$23</f>
        <v>0</v>
      </c>
      <c r="D10" s="316">
        <f>EMISSIONS4!T$23</f>
        <v>0</v>
      </c>
      <c r="E10" s="316">
        <f>EMISSIONS4!U$23</f>
        <v>0</v>
      </c>
      <c r="F10" s="316">
        <f>EMISSIONS4!V$23</f>
        <v>0</v>
      </c>
      <c r="G10" s="316">
        <f>EMISSIONS4!W$23</f>
        <v>0</v>
      </c>
      <c r="H10" s="316">
        <f>EMISSIONS4!X$23</f>
        <v>0</v>
      </c>
      <c r="I10" s="316">
        <f>EMISSIONS4!Y$23</f>
        <v>0</v>
      </c>
      <c r="J10" s="316">
        <f>EMISSIONS4!Z$23</f>
        <v>0</v>
      </c>
    </row>
    <row r="11" spans="1:10" ht="13.5" customHeight="1" x14ac:dyDescent="0.2">
      <c r="A11" s="315">
        <f>EMISSIONS5!A$23</f>
        <v>2024</v>
      </c>
      <c r="B11" s="316">
        <f>EMISSIONS5!R$23</f>
        <v>0</v>
      </c>
      <c r="C11" s="316">
        <f>EMISSIONS5!S$23</f>
        <v>0</v>
      </c>
      <c r="D11" s="316">
        <f>EMISSIONS5!T$23</f>
        <v>0</v>
      </c>
      <c r="E11" s="316">
        <f>EMISSIONS5!U$23</f>
        <v>0</v>
      </c>
      <c r="F11" s="316">
        <f>EMISSIONS5!V$23</f>
        <v>0</v>
      </c>
      <c r="G11" s="316">
        <f>EMISSIONS5!W$23</f>
        <v>0</v>
      </c>
      <c r="H11" s="316">
        <f>EMISSIONS5!X$23</f>
        <v>0</v>
      </c>
      <c r="I11" s="316">
        <f>EMISSIONS5!Y$23</f>
        <v>0</v>
      </c>
      <c r="J11" s="316">
        <f>EMISSIONS5!Z$23</f>
        <v>0</v>
      </c>
    </row>
    <row r="12" spans="1:10" ht="13.5" customHeight="1" x14ac:dyDescent="0.2">
      <c r="A12" s="315">
        <f>EMISSIONS6!A$23</f>
        <v>2025</v>
      </c>
      <c r="B12" s="316">
        <f>EMISSIONS6!R$23</f>
        <v>0</v>
      </c>
      <c r="C12" s="316">
        <f>EMISSIONS6!S$23</f>
        <v>0</v>
      </c>
      <c r="D12" s="316">
        <f>EMISSIONS6!T$23</f>
        <v>0</v>
      </c>
      <c r="E12" s="316">
        <f>EMISSIONS6!U$23</f>
        <v>0</v>
      </c>
      <c r="F12" s="316">
        <f>EMISSIONS6!V$23</f>
        <v>0</v>
      </c>
      <c r="G12" s="316">
        <f>EMISSIONS6!W$23</f>
        <v>0</v>
      </c>
      <c r="H12" s="316">
        <f>EMISSIONS6!X$23</f>
        <v>0</v>
      </c>
      <c r="I12" s="316">
        <f>EMISSIONS6!Y$23</f>
        <v>0</v>
      </c>
      <c r="J12" s="316">
        <f>EMISSIONS6!Z$23</f>
        <v>0</v>
      </c>
    </row>
    <row r="13" spans="1:10" ht="13.5" customHeight="1" x14ac:dyDescent="0.2">
      <c r="A13" s="315">
        <f>EMISSIONS7!A$23</f>
        <v>2026</v>
      </c>
      <c r="B13" s="316">
        <f>EMISSIONS7!R$23</f>
        <v>0</v>
      </c>
      <c r="C13" s="316">
        <f>EMISSIONS7!S$23</f>
        <v>0</v>
      </c>
      <c r="D13" s="316">
        <f>EMISSIONS7!T$23</f>
        <v>0</v>
      </c>
      <c r="E13" s="316">
        <f>EMISSIONS7!U$23</f>
        <v>0</v>
      </c>
      <c r="F13" s="316">
        <f>EMISSIONS7!V$23</f>
        <v>0</v>
      </c>
      <c r="G13" s="316">
        <f>EMISSIONS7!W$23</f>
        <v>0</v>
      </c>
      <c r="H13" s="316">
        <f>EMISSIONS7!X$23</f>
        <v>0</v>
      </c>
      <c r="I13" s="316">
        <f>EMISSIONS7!Y$23</f>
        <v>0</v>
      </c>
      <c r="J13" s="316">
        <f>EMISSIONS7!Z$23</f>
        <v>0</v>
      </c>
    </row>
    <row r="14" spans="1:10" ht="13.5" customHeight="1" x14ac:dyDescent="0.2">
      <c r="A14" s="315">
        <f>EMISSIONS8!A$23</f>
        <v>2027</v>
      </c>
      <c r="B14" s="316">
        <f>EMISSIONS8!R$23</f>
        <v>0</v>
      </c>
      <c r="C14" s="316">
        <f>EMISSIONS8!S$23</f>
        <v>0</v>
      </c>
      <c r="D14" s="316">
        <f>EMISSIONS8!T$23</f>
        <v>0</v>
      </c>
      <c r="E14" s="316">
        <f>EMISSIONS8!U$23</f>
        <v>0</v>
      </c>
      <c r="F14" s="316">
        <f>EMISSIONS8!V$23</f>
        <v>0</v>
      </c>
      <c r="G14" s="316">
        <f>EMISSIONS8!W$23</f>
        <v>0</v>
      </c>
      <c r="H14" s="316">
        <f>EMISSIONS8!X$23</f>
        <v>0</v>
      </c>
      <c r="I14" s="316">
        <f>EMISSIONS8!Y$23</f>
        <v>0</v>
      </c>
      <c r="J14" s="316">
        <f>EMISSIONS8!Z$23</f>
        <v>0</v>
      </c>
    </row>
    <row r="15" spans="1:10" ht="13.5" customHeight="1" x14ac:dyDescent="0.2">
      <c r="A15" s="315">
        <f>EMISSIONS9!A$23</f>
        <v>2028</v>
      </c>
      <c r="B15" s="316">
        <f>EMISSIONS9!R$23</f>
        <v>0</v>
      </c>
      <c r="C15" s="316">
        <f>EMISSIONS9!S$23</f>
        <v>0</v>
      </c>
      <c r="D15" s="316">
        <f>EMISSIONS9!T$23</f>
        <v>0</v>
      </c>
      <c r="E15" s="316">
        <f>EMISSIONS9!U$23</f>
        <v>0</v>
      </c>
      <c r="F15" s="316">
        <f>EMISSIONS9!V$23</f>
        <v>0</v>
      </c>
      <c r="G15" s="316">
        <f>EMISSIONS9!W$23</f>
        <v>0</v>
      </c>
      <c r="H15" s="316">
        <f>EMISSIONS9!X$23</f>
        <v>0</v>
      </c>
      <c r="I15" s="316">
        <f>EMISSIONS9!Y$23</f>
        <v>0</v>
      </c>
      <c r="J15" s="316">
        <f>EMISSIONS9!Z$23</f>
        <v>0</v>
      </c>
    </row>
    <row r="16" spans="1:10" ht="13.5" customHeight="1" thickBot="1" x14ac:dyDescent="0.25">
      <c r="A16" s="315">
        <f>EMISSIONS10!A$23</f>
        <v>2029</v>
      </c>
      <c r="B16" s="316">
        <f>EMISSIONS10!R$23</f>
        <v>0</v>
      </c>
      <c r="C16" s="316">
        <f>EMISSIONS10!S$23</f>
        <v>0</v>
      </c>
      <c r="D16" s="316">
        <f>EMISSIONS10!T$23</f>
        <v>0</v>
      </c>
      <c r="E16" s="316">
        <f>EMISSIONS10!U$23</f>
        <v>0</v>
      </c>
      <c r="F16" s="316">
        <f>EMISSIONS10!V$23</f>
        <v>0</v>
      </c>
      <c r="G16" s="316">
        <f>EMISSIONS10!W$23</f>
        <v>0</v>
      </c>
      <c r="H16" s="316">
        <f>EMISSIONS10!X$23</f>
        <v>0</v>
      </c>
      <c r="I16" s="316">
        <f>EMISSIONS10!Y$23</f>
        <v>0</v>
      </c>
      <c r="J16" s="316">
        <f>EMISSIONS10!Z$23</f>
        <v>0</v>
      </c>
    </row>
    <row r="17" spans="1:10" ht="13.5" customHeight="1" thickTop="1" thickBot="1" x14ac:dyDescent="0.25">
      <c r="A17" s="89" t="s">
        <v>70</v>
      </c>
      <c r="B17" s="90">
        <f>EMISSIONS1!$R$24</f>
        <v>0</v>
      </c>
      <c r="C17" s="90"/>
      <c r="D17" s="90"/>
      <c r="E17" s="90">
        <f>EMISSIONS1!$U$24</f>
        <v>0</v>
      </c>
      <c r="F17" s="90">
        <f>EMISSIONS1!$V$24</f>
        <v>0</v>
      </c>
      <c r="G17" s="90">
        <f>EMISSIONS1!$W$24</f>
        <v>0</v>
      </c>
      <c r="H17" s="90"/>
      <c r="I17" s="90">
        <f>EMISSIONS1!$Y$24</f>
        <v>0</v>
      </c>
      <c r="J17" s="90"/>
    </row>
    <row r="18" spans="1:10" ht="13.5" customHeight="1" thickTop="1" x14ac:dyDescent="0.2"/>
    <row r="64" spans="1:1" ht="13.5" customHeight="1" x14ac:dyDescent="0.2">
      <c r="A64" s="19"/>
    </row>
    <row r="67" spans="1:1" ht="13.5" customHeight="1" x14ac:dyDescent="0.2">
      <c r="A67" s="19"/>
    </row>
    <row r="76" spans="1:1" ht="13.5" customHeight="1" x14ac:dyDescent="0.2">
      <c r="A76" s="20"/>
    </row>
    <row r="77" spans="1:1" ht="13.5" customHeight="1" x14ac:dyDescent="0.2">
      <c r="A77" s="20"/>
    </row>
    <row r="78" spans="1:1" ht="13.5" customHeight="1" x14ac:dyDescent="0.2">
      <c r="A78" s="20"/>
    </row>
    <row r="79" spans="1:1" ht="13.5" customHeight="1" x14ac:dyDescent="0.2">
      <c r="A79" s="19"/>
    </row>
    <row r="109" spans="1:1" ht="13.5" customHeight="1" x14ac:dyDescent="0.2">
      <c r="A109" s="19"/>
    </row>
    <row r="112" spans="1:1" ht="13.5" customHeight="1" x14ac:dyDescent="0.2">
      <c r="A112" s="19"/>
    </row>
  </sheetData>
  <mergeCells count="2">
    <mergeCell ref="A2:B2"/>
    <mergeCell ref="A1:B1"/>
  </mergeCells>
  <phoneticPr fontId="0" type="noConversion"/>
  <printOptions horizontalCentered="1"/>
  <pageMargins left="0.25" right="0.25" top="1" bottom="0.5" header="0.5" footer="0.5"/>
  <pageSetup scale="97" orientation="portrait" horizontalDpi="300" verticalDpi="300" r:id="rId1"/>
  <headerFooter alignWithMargins="0">
    <oddHeader>&amp;C&amp;"Helvetica,Bold"AIR EMISSIONS CALCULATIONS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74"/>
  <sheetViews>
    <sheetView view="pageLayout" zoomScale="80" zoomScaleNormal="100" zoomScalePageLayoutView="80" workbookViewId="0">
      <selection activeCell="L45" sqref="L45"/>
    </sheetView>
  </sheetViews>
  <sheetFormatPr defaultColWidth="9.140625" defaultRowHeight="12.75" x14ac:dyDescent="0.2"/>
  <cols>
    <col min="1" max="1" width="37.7109375" style="6" customWidth="1"/>
    <col min="2" max="2" width="16.7109375" style="7" customWidth="1"/>
    <col min="3" max="5" width="17.140625" style="7" customWidth="1"/>
    <col min="6" max="6" width="10.28515625" style="8" customWidth="1"/>
    <col min="7" max="9" width="10.28515625" style="7" customWidth="1"/>
    <col min="10" max="11" width="10.28515625" style="13" customWidth="1"/>
    <col min="12" max="12" width="58.140625" style="13" customWidth="1"/>
    <col min="13" max="13" width="11.7109375" style="13" customWidth="1"/>
    <col min="14" max="14" width="60.28515625" style="295" customWidth="1"/>
    <col min="15" max="16384" width="9.140625" style="2"/>
  </cols>
  <sheetData>
    <row r="1" spans="1:14" ht="13.5" thickBot="1" x14ac:dyDescent="0.25">
      <c r="A1" s="1" t="s">
        <v>12</v>
      </c>
      <c r="B1" s="459" t="s">
        <v>13</v>
      </c>
      <c r="C1" s="460"/>
      <c r="D1" s="368"/>
      <c r="E1" s="368"/>
      <c r="F1" s="461" t="s">
        <v>14</v>
      </c>
      <c r="G1" s="462"/>
      <c r="H1" s="457" t="s">
        <v>15</v>
      </c>
      <c r="I1" s="458"/>
      <c r="J1" s="457" t="s">
        <v>82</v>
      </c>
      <c r="K1" s="458"/>
      <c r="L1" s="97"/>
      <c r="M1" s="97"/>
    </row>
    <row r="2" spans="1:14" ht="13.5" thickBot="1" x14ac:dyDescent="0.25">
      <c r="A2" s="3"/>
      <c r="B2" s="4" t="s">
        <v>18</v>
      </c>
      <c r="C2" s="166">
        <f>10000/$H$50</f>
        <v>9.5238095238095237</v>
      </c>
      <c r="D2" s="166"/>
      <c r="E2" s="166"/>
      <c r="F2" s="5" t="s">
        <v>18</v>
      </c>
      <c r="G2" s="166">
        <f>7500/$H$50</f>
        <v>7.1428571428571432</v>
      </c>
      <c r="H2" s="4" t="s">
        <v>19</v>
      </c>
      <c r="I2" s="167">
        <f>7000/($H$46*$H$47)</f>
        <v>5.1446000073494286E-2</v>
      </c>
      <c r="J2" s="4" t="s">
        <v>19</v>
      </c>
      <c r="K2" s="167">
        <f>7000/($H$46*$H$47)</f>
        <v>5.1446000073494286E-2</v>
      </c>
      <c r="L2" s="98"/>
      <c r="M2" s="99"/>
    </row>
    <row r="3" spans="1:14" ht="13.5" thickBot="1" x14ac:dyDescent="0.25">
      <c r="J3" s="7"/>
      <c r="K3" s="7"/>
      <c r="L3" s="9"/>
      <c r="M3" s="9"/>
    </row>
    <row r="4" spans="1:14" ht="13.5" thickTop="1" x14ac:dyDescent="0.2">
      <c r="A4" s="134" t="s">
        <v>21</v>
      </c>
      <c r="B4" s="92" t="s">
        <v>22</v>
      </c>
      <c r="C4" s="92" t="s">
        <v>199</v>
      </c>
      <c r="D4" s="92" t="s">
        <v>197</v>
      </c>
      <c r="E4" s="92" t="s">
        <v>198</v>
      </c>
      <c r="F4" s="140" t="s">
        <v>23</v>
      </c>
      <c r="G4" s="92" t="s">
        <v>24</v>
      </c>
      <c r="H4" s="92" t="s">
        <v>25</v>
      </c>
      <c r="I4" s="92" t="s">
        <v>72</v>
      </c>
      <c r="J4" s="141" t="s">
        <v>26</v>
      </c>
      <c r="K4" s="141" t="s">
        <v>80</v>
      </c>
      <c r="L4" s="141" t="s">
        <v>16</v>
      </c>
      <c r="M4" s="142" t="s">
        <v>17</v>
      </c>
      <c r="N4" s="296" t="s">
        <v>139</v>
      </c>
    </row>
    <row r="5" spans="1:14" x14ac:dyDescent="0.2">
      <c r="A5" s="135"/>
      <c r="B5" s="11"/>
      <c r="C5" s="11"/>
      <c r="D5" s="11"/>
      <c r="E5" s="11"/>
      <c r="F5" s="136"/>
      <c r="G5" s="11"/>
      <c r="H5" s="11"/>
      <c r="I5" s="11"/>
      <c r="J5" s="137"/>
      <c r="K5" s="137"/>
      <c r="L5" s="137"/>
      <c r="M5" s="138"/>
      <c r="N5" s="297"/>
    </row>
    <row r="6" spans="1:14" x14ac:dyDescent="0.2">
      <c r="A6" s="113" t="s">
        <v>186</v>
      </c>
      <c r="B6" s="114" t="s">
        <v>83</v>
      </c>
      <c r="C6" s="106"/>
      <c r="D6" s="106">
        <f>0.0019*$H$50*$C$2*453.592/1000000</f>
        <v>8.6182480000000002E-3</v>
      </c>
      <c r="E6" s="106">
        <f>0.0019*$H$50*$C$2*453.592/1000000</f>
        <v>8.6182480000000002E-3</v>
      </c>
      <c r="F6" s="106">
        <f>(0.94*0.000178*$B$46)*453.592*$H$50*$C$2/1000000</f>
        <v>2.5652514542719991E-3</v>
      </c>
      <c r="G6" s="106">
        <f>0.32*$H$50*$C$2*453.592/1000000</f>
        <v>1.4514943999999999</v>
      </c>
      <c r="H6" s="106">
        <f>0.0021*$H$50*$C$2*453.592/1000000</f>
        <v>9.5254319999999986E-3</v>
      </c>
      <c r="I6" s="106" t="s">
        <v>85</v>
      </c>
      <c r="J6" s="106">
        <f>0.082*$H$50*$C$2*453.592/1000000</f>
        <v>0.37194544000000007</v>
      </c>
      <c r="K6" s="106" t="s">
        <v>85</v>
      </c>
      <c r="L6" s="115" t="s">
        <v>74</v>
      </c>
      <c r="M6" s="117" t="s">
        <v>75</v>
      </c>
      <c r="N6" s="265" t="s">
        <v>144</v>
      </c>
    </row>
    <row r="7" spans="1:14" x14ac:dyDescent="0.2">
      <c r="A7" s="10" t="s">
        <v>166</v>
      </c>
      <c r="B7" s="11" t="s">
        <v>83</v>
      </c>
      <c r="C7" s="107"/>
      <c r="D7" s="107">
        <f>0.038*$H$50*$G$2*453.592/1000000</f>
        <v>0.12927372000000001</v>
      </c>
      <c r="E7" s="107">
        <f>0.038*$H$50*$G$2*453.592/1000000</f>
        <v>0.12927372000000001</v>
      </c>
      <c r="F7" s="107">
        <f>0.000588*$H$50*$G$2*453.592/1000000</f>
        <v>2.0003407199999999E-3</v>
      </c>
      <c r="G7" s="107">
        <f>1.94*$H$50*$G$2*453.592/1000000</f>
        <v>6.5997635999999993</v>
      </c>
      <c r="H7" s="107">
        <f>0.12*$H$50*$G$2*453.592/1000000</f>
        <v>0.40823280000000001</v>
      </c>
      <c r="I7" s="107" t="s">
        <v>85</v>
      </c>
      <c r="J7" s="107">
        <f>0.353*$H$50*$G$2*453.592/1000000</f>
        <v>1.20088482</v>
      </c>
      <c r="K7" s="107" t="s">
        <v>85</v>
      </c>
      <c r="L7" s="12" t="s">
        <v>20</v>
      </c>
      <c r="M7" s="95" t="s">
        <v>76</v>
      </c>
      <c r="N7" s="265" t="s">
        <v>145</v>
      </c>
    </row>
    <row r="8" spans="1:14" x14ac:dyDescent="0.2">
      <c r="A8" s="113" t="s">
        <v>167</v>
      </c>
      <c r="B8" s="114" t="s">
        <v>83</v>
      </c>
      <c r="C8" s="106"/>
      <c r="D8" s="106">
        <f>0.000071*$H$50*$G$2*453.592/1000000</f>
        <v>2.4153774000000005E-4</v>
      </c>
      <c r="E8" s="106">
        <f>0.000071*$H$50*$G$2*453.592/1000000</f>
        <v>2.4153774000000005E-4</v>
      </c>
      <c r="F8" s="106">
        <f>0.000588*$H$50*$G$2*453.592/1000000</f>
        <v>2.0003407199999999E-3</v>
      </c>
      <c r="G8" s="106">
        <f>0.847*$H$50*$G$2*453.592/1000000</f>
        <v>2.8814431800000002</v>
      </c>
      <c r="H8" s="106">
        <f>0.118*$H$50*$G$2*453.592/1000000</f>
        <v>0.40142891999999997</v>
      </c>
      <c r="I8" s="106" t="s">
        <v>85</v>
      </c>
      <c r="J8" s="106">
        <f>0.557*$H$50*$G$2*453.592/1000000</f>
        <v>1.8948805799999999</v>
      </c>
      <c r="K8" s="106" t="s">
        <v>85</v>
      </c>
      <c r="L8" s="115" t="s">
        <v>77</v>
      </c>
      <c r="M8" s="117" t="s">
        <v>76</v>
      </c>
      <c r="N8" s="265" t="s">
        <v>145</v>
      </c>
    </row>
    <row r="9" spans="1:14" x14ac:dyDescent="0.2">
      <c r="A9" s="10" t="s">
        <v>168</v>
      </c>
      <c r="B9" s="11" t="s">
        <v>83</v>
      </c>
      <c r="C9" s="107"/>
      <c r="D9" s="107">
        <f>0.0095*$G$2*$H$50*453.592/1000000</f>
        <v>3.2318430000000002E-2</v>
      </c>
      <c r="E9" s="107">
        <f>0.0095*$G$2*$H$50*453.592/1000000</f>
        <v>3.2318430000000002E-2</v>
      </c>
      <c r="F9" s="107">
        <f>0.000588*$G$2*$H$50*453.592/1000000</f>
        <v>2.0003407199999999E-3</v>
      </c>
      <c r="G9" s="107">
        <f>2.27*$G$2*$H$50*453.592/1000000</f>
        <v>7.7224037999999995</v>
      </c>
      <c r="H9" s="107">
        <f>0.03*$G$2*$H$50*453.592/1000000</f>
        <v>0.10205820000000002</v>
      </c>
      <c r="I9" s="107" t="s">
        <v>85</v>
      </c>
      <c r="J9" s="107">
        <f>3.51*$G$2*$H$50*453.592/1000000</f>
        <v>11.940809400000001</v>
      </c>
      <c r="K9" s="107" t="s">
        <v>85</v>
      </c>
      <c r="L9" s="12" t="s">
        <v>78</v>
      </c>
      <c r="M9" s="95" t="s">
        <v>76</v>
      </c>
      <c r="N9" s="265" t="s">
        <v>145</v>
      </c>
    </row>
    <row r="10" spans="1:14" ht="6" customHeight="1" x14ac:dyDescent="0.2">
      <c r="A10" s="143"/>
      <c r="B10" s="144"/>
      <c r="C10" s="152"/>
      <c r="D10" s="152"/>
      <c r="E10" s="152"/>
      <c r="F10" s="152"/>
      <c r="G10" s="152"/>
      <c r="H10" s="152" t="s">
        <v>0</v>
      </c>
      <c r="I10" s="152"/>
      <c r="J10" s="152"/>
      <c r="K10" s="152"/>
      <c r="L10" s="145"/>
      <c r="M10" s="149"/>
      <c r="N10" s="298"/>
    </row>
    <row r="11" spans="1:14" x14ac:dyDescent="0.2">
      <c r="A11" s="113" t="s">
        <v>109</v>
      </c>
      <c r="B11" s="114" t="s">
        <v>83</v>
      </c>
      <c r="C11" s="114">
        <v>1</v>
      </c>
      <c r="D11" s="114">
        <v>1</v>
      </c>
      <c r="E11" s="114">
        <v>1</v>
      </c>
      <c r="F11" s="114">
        <f>0.93*(15/500)</f>
        <v>2.7900000000000001E-2</v>
      </c>
      <c r="G11" s="114">
        <v>14.1</v>
      </c>
      <c r="H11" s="114">
        <v>1.04</v>
      </c>
      <c r="I11" s="114" t="s">
        <v>85</v>
      </c>
      <c r="J11" s="114">
        <v>3.03</v>
      </c>
      <c r="K11" s="114" t="s">
        <v>85</v>
      </c>
      <c r="L11" s="115" t="s">
        <v>28</v>
      </c>
      <c r="M11" s="117" t="s">
        <v>27</v>
      </c>
      <c r="N11" s="265" t="s">
        <v>146</v>
      </c>
    </row>
    <row r="12" spans="1:14" x14ac:dyDescent="0.2">
      <c r="A12" s="10" t="s">
        <v>110</v>
      </c>
      <c r="B12" s="11" t="s">
        <v>83</v>
      </c>
      <c r="C12" s="257">
        <v>0.32</v>
      </c>
      <c r="D12" s="257">
        <v>0.182</v>
      </c>
      <c r="E12" s="257">
        <v>0.17799999999999999</v>
      </c>
      <c r="F12" s="258">
        <f>3.67*$B$47</f>
        <v>5.5050000000000003E-3</v>
      </c>
      <c r="G12" s="257">
        <v>10.9</v>
      </c>
      <c r="H12" s="257">
        <v>0.28999999999999998</v>
      </c>
      <c r="I12" s="257" t="s">
        <v>85</v>
      </c>
      <c r="J12" s="257">
        <v>2.5</v>
      </c>
      <c r="K12" s="257" t="s">
        <v>85</v>
      </c>
      <c r="L12" s="12" t="s">
        <v>79</v>
      </c>
      <c r="M12" s="95" t="s">
        <v>27</v>
      </c>
      <c r="N12" s="265" t="s">
        <v>147</v>
      </c>
    </row>
    <row r="13" spans="1:14" ht="19.149999999999999" customHeight="1" x14ac:dyDescent="0.2">
      <c r="A13" s="113" t="s">
        <v>29</v>
      </c>
      <c r="B13" s="106" t="s">
        <v>30</v>
      </c>
      <c r="C13" s="106">
        <v>8.4000000000000005E-2</v>
      </c>
      <c r="D13" s="106">
        <v>4.2000000000000003E-2</v>
      </c>
      <c r="E13" s="106">
        <v>1.0500000000000001E-2</v>
      </c>
      <c r="F13" s="106">
        <f>(142*$B$47)*42/1000</f>
        <v>8.9459999999999991E-3</v>
      </c>
      <c r="G13" s="106">
        <v>1.008</v>
      </c>
      <c r="H13" s="106">
        <v>8.4000000000000012E-3</v>
      </c>
      <c r="I13" s="435">
        <v>5.1432569999999991E-5</v>
      </c>
      <c r="J13" s="106">
        <v>0.21</v>
      </c>
      <c r="K13" s="106">
        <v>3.3600000000000005E-2</v>
      </c>
      <c r="L13" s="115" t="s">
        <v>104</v>
      </c>
      <c r="M13" s="115" t="s">
        <v>156</v>
      </c>
      <c r="N13" s="265" t="s">
        <v>149</v>
      </c>
    </row>
    <row r="14" spans="1:14" x14ac:dyDescent="0.2">
      <c r="A14" s="10" t="s">
        <v>73</v>
      </c>
      <c r="B14" s="11" t="s">
        <v>83</v>
      </c>
      <c r="C14" s="107">
        <f>0.012*$H$47*$H$46*$I$2*453.592/1000000</f>
        <v>3.8101727999999994E-2</v>
      </c>
      <c r="D14" s="107">
        <f>0.0043*$H$47*$H$46*$K$2*453.592/1000000</f>
        <v>1.3653119199999999E-2</v>
      </c>
      <c r="E14" s="107">
        <f>0.0043*$H$47*$H$46*$K$2*453.592/1000000</f>
        <v>1.3653119199999999E-2</v>
      </c>
      <c r="F14" s="107">
        <f>(1.01*$B$47)*453.592*$H$46*$K$2*$H$47/1000000</f>
        <v>4.8103431600000001E-3</v>
      </c>
      <c r="G14" s="107">
        <f>0.88*$H$47*$H$46*$K$2*453.592/1000000</f>
        <v>2.79412672</v>
      </c>
      <c r="H14" s="107">
        <f>0.00041*$H$47*$H$46*$K$2*453.592/1000000</f>
        <v>1.3018090400000002E-3</v>
      </c>
      <c r="I14" s="436">
        <f>0.000014*$H$47*$H$46*$K$2*453.592/1000000</f>
        <v>4.4452015999999991E-5</v>
      </c>
      <c r="J14" s="107">
        <f>0.0033*$H$47*$H$46*$K$2*453.592/1000000</f>
        <v>1.0477975200000001E-2</v>
      </c>
      <c r="K14" s="123" t="s">
        <v>85</v>
      </c>
      <c r="L14" s="12" t="s">
        <v>195</v>
      </c>
      <c r="M14" s="95" t="s">
        <v>75</v>
      </c>
      <c r="N14" s="463" t="s">
        <v>150</v>
      </c>
    </row>
    <row r="15" spans="1:14" x14ac:dyDescent="0.2">
      <c r="A15" s="113" t="s">
        <v>151</v>
      </c>
      <c r="B15" s="114" t="s">
        <v>83</v>
      </c>
      <c r="C15" s="106">
        <f>MAX(C14,C6)</f>
        <v>3.8101727999999994E-2</v>
      </c>
      <c r="D15" s="106">
        <f>MAX(D14,D6)</f>
        <v>1.3653119199999999E-2</v>
      </c>
      <c r="E15" s="106">
        <f t="shared" ref="E15" si="0">MAX(E14,E6)</f>
        <v>1.3653119199999999E-2</v>
      </c>
      <c r="F15" s="106">
        <f t="shared" ref="F15:J15" si="1">MAX(F14,F6)</f>
        <v>4.8103431600000001E-3</v>
      </c>
      <c r="G15" s="106">
        <f t="shared" si="1"/>
        <v>2.79412672</v>
      </c>
      <c r="H15" s="106">
        <f t="shared" si="1"/>
        <v>9.5254319999999986E-3</v>
      </c>
      <c r="I15" s="435">
        <f t="shared" si="1"/>
        <v>4.4452015999999991E-5</v>
      </c>
      <c r="J15" s="106">
        <f t="shared" si="1"/>
        <v>0.37194544000000007</v>
      </c>
      <c r="K15" s="106">
        <f>MAX(K14,K6)</f>
        <v>0</v>
      </c>
      <c r="L15" s="115" t="s">
        <v>196</v>
      </c>
      <c r="M15" s="117" t="s">
        <v>75</v>
      </c>
      <c r="N15" s="463"/>
    </row>
    <row r="16" spans="1:14" ht="6" customHeight="1" x14ac:dyDescent="0.2">
      <c r="A16" s="143"/>
      <c r="B16" s="144"/>
      <c r="C16" s="144"/>
      <c r="D16" s="144"/>
      <c r="E16" s="144"/>
      <c r="F16" s="144"/>
      <c r="G16" s="144"/>
      <c r="H16" s="144"/>
      <c r="I16" s="437"/>
      <c r="J16" s="152"/>
      <c r="K16" s="152"/>
      <c r="L16" s="145"/>
      <c r="M16" s="149" t="s">
        <v>0</v>
      </c>
      <c r="N16" s="298"/>
    </row>
    <row r="17" spans="1:14" s="256" customFormat="1" ht="18" customHeight="1" x14ac:dyDescent="0.2">
      <c r="A17" s="254" t="s">
        <v>113</v>
      </c>
      <c r="B17" s="257" t="s">
        <v>83</v>
      </c>
      <c r="C17" s="268">
        <f>C12</f>
        <v>0.32</v>
      </c>
      <c r="D17" s="432">
        <f>0.258902*0.7457</f>
        <v>0.19306322140000001</v>
      </c>
      <c r="E17" s="432">
        <f>0.251135*0.7457</f>
        <v>0.18727136950000001</v>
      </c>
      <c r="F17" s="432">
        <f>0.006246*0.7457</f>
        <v>4.6576422000000001E-3</v>
      </c>
      <c r="G17" s="432">
        <f>10.28152*0.7457</f>
        <v>7.6669294640000007</v>
      </c>
      <c r="H17" s="432">
        <f>0.295615*0.7457</f>
        <v>0.22044010550000001</v>
      </c>
      <c r="I17" s="267">
        <v>2.2371E-5</v>
      </c>
      <c r="J17" s="432">
        <f>1.612632*0.7457</f>
        <v>1.2025396824000001</v>
      </c>
      <c r="K17" s="258">
        <v>2.2371000000000001E-3</v>
      </c>
      <c r="L17" s="259" t="s">
        <v>201</v>
      </c>
      <c r="M17" s="266" t="s">
        <v>155</v>
      </c>
      <c r="N17" s="467" t="s">
        <v>162</v>
      </c>
    </row>
    <row r="18" spans="1:14" s="255" customFormat="1" ht="15" customHeight="1" x14ac:dyDescent="0.2">
      <c r="A18" s="113" t="s">
        <v>200</v>
      </c>
      <c r="B18" s="114" t="s">
        <v>83</v>
      </c>
      <c r="C18" s="108">
        <f>C12</f>
        <v>0.32</v>
      </c>
      <c r="D18" s="433">
        <f>0.258902*0.7457</f>
        <v>0.19306322140000001</v>
      </c>
      <c r="E18" s="433">
        <f>0.251135*0.7457</f>
        <v>0.18727136950000001</v>
      </c>
      <c r="F18" s="433">
        <f>0.006246*0.7457</f>
        <v>4.6576422000000001E-3</v>
      </c>
      <c r="G18" s="433">
        <f>10.28152*0.7457</f>
        <v>7.6669294640000007</v>
      </c>
      <c r="H18" s="433">
        <f>0.295615*0.7457</f>
        <v>0.22044010550000001</v>
      </c>
      <c r="I18" s="435">
        <v>2.2371E-5</v>
      </c>
      <c r="J18" s="433">
        <f>1.612632*0.7457</f>
        <v>1.2025396824000001</v>
      </c>
      <c r="K18" s="106">
        <v>2.2371000000000001E-3</v>
      </c>
      <c r="L18" s="115" t="str">
        <f>L17</f>
        <v>USEPA 2017 NEI;TSP refer to Diesel Recip. &gt; 600 hp reference</v>
      </c>
      <c r="M18" s="115" t="s">
        <v>155</v>
      </c>
      <c r="N18" s="468"/>
    </row>
    <row r="19" spans="1:14" s="256" customFormat="1" ht="15" customHeight="1" x14ac:dyDescent="0.2">
      <c r="A19" s="254" t="s">
        <v>193</v>
      </c>
      <c r="B19" s="257" t="s">
        <v>83</v>
      </c>
      <c r="C19" s="258">
        <v>4.6628999999999997E-2</v>
      </c>
      <c r="D19" s="258">
        <v>0.14914000000000002</v>
      </c>
      <c r="E19" s="258">
        <v>0.141683</v>
      </c>
      <c r="F19" s="258">
        <v>0.43996299999999999</v>
      </c>
      <c r="G19" s="258">
        <v>1.4914000000000001</v>
      </c>
      <c r="H19" s="258">
        <v>8.2027000000000003E-2</v>
      </c>
      <c r="I19" s="267">
        <v>3.7285000000000006E-5</v>
      </c>
      <c r="J19" s="258">
        <v>0.14914000000000002</v>
      </c>
      <c r="K19" s="258">
        <v>2.9828000000000005E-4</v>
      </c>
      <c r="L19" s="259" t="s">
        <v>202</v>
      </c>
      <c r="M19" s="266" t="s">
        <v>155</v>
      </c>
      <c r="N19" s="468"/>
    </row>
    <row r="20" spans="1:14" ht="15" customHeight="1" x14ac:dyDescent="0.2">
      <c r="A20" s="113" t="s">
        <v>188</v>
      </c>
      <c r="B20" s="114" t="str">
        <f>B19</f>
        <v>g/hp-hr</v>
      </c>
      <c r="C20" s="108">
        <f>C12</f>
        <v>0.32</v>
      </c>
      <c r="D20" s="433">
        <f>0.258902*0.7457</f>
        <v>0.19306322140000001</v>
      </c>
      <c r="E20" s="433">
        <f>0.251135*0.7457</f>
        <v>0.18727136950000001</v>
      </c>
      <c r="F20" s="433">
        <f>0.006246*0.7457</f>
        <v>4.6576422000000001E-3</v>
      </c>
      <c r="G20" s="433">
        <f>10.28152*0.7457</f>
        <v>7.6669294640000007</v>
      </c>
      <c r="H20" s="433">
        <f>0.295615*0.7457</f>
        <v>0.22044010550000001</v>
      </c>
      <c r="I20" s="435">
        <v>2.2371E-5</v>
      </c>
      <c r="J20" s="433">
        <f>1.612632*0.7457</f>
        <v>1.2025396824000001</v>
      </c>
      <c r="K20" s="106">
        <f t="shared" ref="K20:M20" si="2">K17</f>
        <v>2.2371000000000001E-3</v>
      </c>
      <c r="L20" s="115" t="str">
        <f t="shared" si="2"/>
        <v>USEPA 2017 NEI;TSP refer to Diesel Recip. &gt; 600 hp reference</v>
      </c>
      <c r="M20" s="384" t="str">
        <f t="shared" si="2"/>
        <v>3/19</v>
      </c>
      <c r="N20" s="469"/>
    </row>
    <row r="21" spans="1:14" s="255" customFormat="1" ht="17.45" customHeight="1" x14ac:dyDescent="0.2">
      <c r="A21" s="385" t="s">
        <v>187</v>
      </c>
      <c r="B21" s="386" t="s">
        <v>84</v>
      </c>
      <c r="C21" s="387">
        <v>7.6</v>
      </c>
      <c r="D21" s="387">
        <v>1.9</v>
      </c>
      <c r="E21" s="387">
        <v>1.9</v>
      </c>
      <c r="F21" s="387">
        <v>0.6</v>
      </c>
      <c r="G21" s="387">
        <v>190</v>
      </c>
      <c r="H21" s="387">
        <v>5.5</v>
      </c>
      <c r="I21" s="438">
        <v>5.0000000000000001E-4</v>
      </c>
      <c r="J21" s="387">
        <v>84</v>
      </c>
      <c r="K21" s="388">
        <v>3.2</v>
      </c>
      <c r="L21" s="389" t="s">
        <v>105</v>
      </c>
      <c r="M21" s="390" t="s">
        <v>157</v>
      </c>
      <c r="N21" s="307" t="s">
        <v>175</v>
      </c>
    </row>
    <row r="22" spans="1:14" ht="12.75" customHeight="1" x14ac:dyDescent="0.2">
      <c r="A22" s="113" t="s">
        <v>169</v>
      </c>
      <c r="B22" s="114" t="s">
        <v>84</v>
      </c>
      <c r="C22" s="304">
        <v>0</v>
      </c>
      <c r="D22" s="304">
        <v>0</v>
      </c>
      <c r="E22" s="304">
        <v>0</v>
      </c>
      <c r="F22" s="304">
        <f>0.1687*$B$48</f>
        <v>0.57020599999999999</v>
      </c>
      <c r="G22" s="154">
        <f>(0.068*$H$50)</f>
        <v>71.400000000000006</v>
      </c>
      <c r="H22" s="154">
        <f>($B$53*1000000*(1-$B$54/100)/379.4)</f>
        <v>35.930416447021649</v>
      </c>
      <c r="I22" s="155" t="s">
        <v>85</v>
      </c>
      <c r="J22" s="391">
        <f>(0.31*$H$50)</f>
        <v>325.5</v>
      </c>
      <c r="K22" s="156" t="s">
        <v>85</v>
      </c>
      <c r="L22" s="115" t="s">
        <v>173</v>
      </c>
      <c r="M22" s="116" t="s">
        <v>174</v>
      </c>
      <c r="N22" s="464" t="s">
        <v>176</v>
      </c>
    </row>
    <row r="23" spans="1:14" s="255" customFormat="1" x14ac:dyDescent="0.2">
      <c r="A23" s="385" t="s">
        <v>170</v>
      </c>
      <c r="B23" s="386" t="s">
        <v>84</v>
      </c>
      <c r="C23" s="392">
        <f>(0.002*H50)</f>
        <v>2.1</v>
      </c>
      <c r="D23" s="392">
        <f>(0.002*H50)</f>
        <v>2.1</v>
      </c>
      <c r="E23" s="392">
        <f>(0.002*H50)</f>
        <v>2.1</v>
      </c>
      <c r="F23" s="392">
        <f>0.1687*$B$48</f>
        <v>0.57020599999999999</v>
      </c>
      <c r="G23" s="392">
        <f>(0.068*$H$50)</f>
        <v>71.400000000000006</v>
      </c>
      <c r="H23" s="392">
        <f t="shared" ref="H23:H24" si="3">($B$53*1000000*(1-$B$54/100)/379.4)</f>
        <v>35.930416447021649</v>
      </c>
      <c r="I23" s="393" t="s">
        <v>85</v>
      </c>
      <c r="J23" s="394">
        <f>(0.31*$H$50)</f>
        <v>325.5</v>
      </c>
      <c r="K23" s="394" t="s">
        <v>85</v>
      </c>
      <c r="L23" s="389" t="s">
        <v>173</v>
      </c>
      <c r="M23" s="395" t="s">
        <v>174</v>
      </c>
      <c r="N23" s="465"/>
    </row>
    <row r="24" spans="1:14" x14ac:dyDescent="0.2">
      <c r="A24" s="113" t="s">
        <v>171</v>
      </c>
      <c r="B24" s="114" t="s">
        <v>84</v>
      </c>
      <c r="C24" s="304">
        <f>(0.01*H50)</f>
        <v>10.5</v>
      </c>
      <c r="D24" s="304">
        <f>(0.01*H50)</f>
        <v>10.5</v>
      </c>
      <c r="E24" s="304">
        <f>(0.01*H50)</f>
        <v>10.5</v>
      </c>
      <c r="F24" s="304">
        <f>0.1687*$B$48</f>
        <v>0.57020599999999999</v>
      </c>
      <c r="G24" s="154">
        <f>(0.068*$H$50)</f>
        <v>71.400000000000006</v>
      </c>
      <c r="H24" s="154">
        <f t="shared" si="3"/>
        <v>35.930416447021649</v>
      </c>
      <c r="I24" s="155" t="s">
        <v>85</v>
      </c>
      <c r="J24" s="156">
        <f>(0.31*$H$50)</f>
        <v>325.5</v>
      </c>
      <c r="K24" s="156" t="s">
        <v>85</v>
      </c>
      <c r="L24" s="115" t="s">
        <v>173</v>
      </c>
      <c r="M24" s="116" t="s">
        <v>174</v>
      </c>
      <c r="N24" s="465"/>
    </row>
    <row r="25" spans="1:14" s="255" customFormat="1" x14ac:dyDescent="0.2">
      <c r="A25" s="385" t="s">
        <v>172</v>
      </c>
      <c r="B25" s="386" t="s">
        <v>84</v>
      </c>
      <c r="C25" s="392">
        <f>(0.02*H50)</f>
        <v>21</v>
      </c>
      <c r="D25" s="392">
        <f>(0.02*H50)</f>
        <v>21</v>
      </c>
      <c r="E25" s="392">
        <f>(0.02*H50)</f>
        <v>21</v>
      </c>
      <c r="F25" s="392">
        <f>0.1687*$B$48</f>
        <v>0.57020599999999999</v>
      </c>
      <c r="G25" s="392">
        <f>(0.068*$H$50)</f>
        <v>71.400000000000006</v>
      </c>
      <c r="H25" s="392">
        <f>($B$53*1000000*(1-$B$54/100)/379.4)</f>
        <v>35.930416447021649</v>
      </c>
      <c r="I25" s="393" t="s">
        <v>85</v>
      </c>
      <c r="J25" s="394">
        <f>(0.31*$H$50)</f>
        <v>325.5</v>
      </c>
      <c r="K25" s="394" t="s">
        <v>85</v>
      </c>
      <c r="L25" s="389" t="s">
        <v>173</v>
      </c>
      <c r="M25" s="395" t="s">
        <v>174</v>
      </c>
      <c r="N25" s="466"/>
    </row>
    <row r="26" spans="1:14" ht="6" customHeight="1" x14ac:dyDescent="0.2">
      <c r="A26" s="143"/>
      <c r="B26" s="144"/>
      <c r="C26" s="144"/>
      <c r="D26" s="144"/>
      <c r="E26" s="144"/>
      <c r="F26" s="144"/>
      <c r="G26" s="144"/>
      <c r="H26" s="144"/>
      <c r="I26" s="144"/>
      <c r="J26" s="144"/>
      <c r="K26" s="144"/>
      <c r="L26" s="145"/>
      <c r="M26" s="146"/>
      <c r="N26" s="298"/>
    </row>
    <row r="27" spans="1:14" x14ac:dyDescent="0.2">
      <c r="A27" s="10" t="s">
        <v>31</v>
      </c>
      <c r="B27" s="257" t="s">
        <v>30</v>
      </c>
      <c r="C27" s="257">
        <v>0.42</v>
      </c>
      <c r="D27" s="257">
        <v>9.6599999999999991E-2</v>
      </c>
      <c r="E27" s="257">
        <v>6.5100000000000005E-2</v>
      </c>
      <c r="F27" s="257">
        <f>142*$B$49*42/1000</f>
        <v>5.9640000000000004</v>
      </c>
      <c r="G27" s="257">
        <v>0.84</v>
      </c>
      <c r="H27" s="257">
        <v>1.4280000000000001E-2</v>
      </c>
      <c r="I27" s="267">
        <v>5.1432569999999991E-5</v>
      </c>
      <c r="J27" s="257">
        <v>0.21</v>
      </c>
      <c r="K27" s="257">
        <v>3.3600000000000005E-2</v>
      </c>
      <c r="L27" s="259" t="s">
        <v>181</v>
      </c>
      <c r="M27" s="118" t="s">
        <v>180</v>
      </c>
      <c r="N27" s="299" t="s">
        <v>163</v>
      </c>
    </row>
    <row r="28" spans="1:14" s="255" customFormat="1" ht="25.5" x14ac:dyDescent="0.2">
      <c r="A28" s="113" t="s">
        <v>125</v>
      </c>
      <c r="B28" s="313" t="s">
        <v>138</v>
      </c>
      <c r="C28" s="108"/>
      <c r="D28" s="108"/>
      <c r="E28" s="108"/>
      <c r="F28" s="108"/>
      <c r="G28" s="108"/>
      <c r="H28" s="305">
        <v>4.2995559066049891</v>
      </c>
      <c r="I28" s="108"/>
      <c r="J28" s="108"/>
      <c r="K28" s="108"/>
      <c r="L28" s="366" t="s">
        <v>135</v>
      </c>
      <c r="M28" s="150">
        <v>2017</v>
      </c>
      <c r="N28" s="300" t="s">
        <v>140</v>
      </c>
    </row>
    <row r="29" spans="1:14" x14ac:dyDescent="0.2">
      <c r="A29" s="10" t="s">
        <v>32</v>
      </c>
      <c r="B29" s="257" t="s">
        <v>161</v>
      </c>
      <c r="C29" s="268"/>
      <c r="D29" s="268"/>
      <c r="E29" s="268"/>
      <c r="F29" s="268"/>
      <c r="G29" s="268"/>
      <c r="H29" s="258">
        <v>5.0000000000000001E-4</v>
      </c>
      <c r="I29" s="268"/>
      <c r="J29" s="268"/>
      <c r="K29" s="268"/>
      <c r="L29" s="259" t="s">
        <v>33</v>
      </c>
      <c r="M29" s="147" t="s">
        <v>34</v>
      </c>
      <c r="N29" s="301" t="s">
        <v>164</v>
      </c>
    </row>
    <row r="30" spans="1:14" s="255" customFormat="1" ht="25.5" x14ac:dyDescent="0.2">
      <c r="A30" s="113" t="s">
        <v>127</v>
      </c>
      <c r="B30" s="313" t="s">
        <v>136</v>
      </c>
      <c r="C30" s="108"/>
      <c r="D30" s="108"/>
      <c r="E30" s="108"/>
      <c r="F30" s="108"/>
      <c r="G30" s="108"/>
      <c r="H30" s="305">
        <v>19.240001379960017</v>
      </c>
      <c r="I30" s="108"/>
      <c r="J30" s="108"/>
      <c r="K30" s="108"/>
      <c r="L30" s="366" t="s">
        <v>137</v>
      </c>
      <c r="M30" s="150">
        <v>2014</v>
      </c>
      <c r="N30" s="300" t="s">
        <v>141</v>
      </c>
    </row>
    <row r="31" spans="1:14" ht="25.5" x14ac:dyDescent="0.2">
      <c r="A31" s="10" t="s">
        <v>126</v>
      </c>
      <c r="B31" s="314" t="s">
        <v>134</v>
      </c>
      <c r="C31" s="268"/>
      <c r="D31" s="268"/>
      <c r="E31" s="268"/>
      <c r="F31" s="268"/>
      <c r="G31" s="268"/>
      <c r="H31" s="269">
        <v>44.747490111596278</v>
      </c>
      <c r="I31" s="268"/>
      <c r="J31" s="268"/>
      <c r="K31" s="268"/>
      <c r="L31" s="367" t="s">
        <v>135</v>
      </c>
      <c r="M31" s="15">
        <v>2017</v>
      </c>
      <c r="N31" s="299" t="s">
        <v>185</v>
      </c>
    </row>
    <row r="32" spans="1:14" ht="6" customHeight="1" x14ac:dyDescent="0.2">
      <c r="A32" s="143"/>
      <c r="B32" s="144"/>
      <c r="C32" s="148"/>
      <c r="D32" s="148"/>
      <c r="E32" s="148"/>
      <c r="F32" s="148"/>
      <c r="G32" s="148"/>
      <c r="H32" s="152"/>
      <c r="I32" s="148"/>
      <c r="J32" s="148"/>
      <c r="K32" s="148"/>
      <c r="L32" s="145"/>
      <c r="M32" s="149"/>
      <c r="N32" s="298"/>
    </row>
    <row r="33" spans="1:14" s="255" customFormat="1" x14ac:dyDescent="0.2">
      <c r="A33" s="113" t="s">
        <v>152</v>
      </c>
      <c r="B33" s="114" t="s">
        <v>106</v>
      </c>
      <c r="C33" s="108"/>
      <c r="D33" s="434">
        <v>15</v>
      </c>
      <c r="E33" s="434">
        <v>15</v>
      </c>
      <c r="F33" s="434">
        <v>2.5</v>
      </c>
      <c r="G33" s="434">
        <v>2</v>
      </c>
      <c r="H33" s="434" t="s">
        <v>85</v>
      </c>
      <c r="I33" s="434" t="s">
        <v>85</v>
      </c>
      <c r="J33" s="434">
        <v>20</v>
      </c>
      <c r="K33" s="108" t="s">
        <v>85</v>
      </c>
      <c r="L33" s="115" t="s">
        <v>111</v>
      </c>
      <c r="M33" s="159" t="s">
        <v>27</v>
      </c>
      <c r="N33" s="300" t="s">
        <v>142</v>
      </c>
    </row>
    <row r="34" spans="1:14" ht="22.5" x14ac:dyDescent="0.2">
      <c r="A34" s="10" t="s">
        <v>153</v>
      </c>
      <c r="B34" s="11" t="s">
        <v>86</v>
      </c>
      <c r="C34" s="443">
        <v>4.2889999999999998E-2</v>
      </c>
      <c r="D34" s="109">
        <v>4.2500000000000003E-2</v>
      </c>
      <c r="E34" s="109">
        <v>4.2500000000000003E-2</v>
      </c>
      <c r="F34" s="109">
        <v>3.9699999999999999E-2</v>
      </c>
      <c r="G34" s="109">
        <v>0.60399999999999998</v>
      </c>
      <c r="H34" s="109">
        <v>4.9299999999999997E-2</v>
      </c>
      <c r="I34" s="109" t="s">
        <v>85</v>
      </c>
      <c r="J34" s="109">
        <v>0.13</v>
      </c>
      <c r="K34" s="109">
        <v>2.8999999999999998E-3</v>
      </c>
      <c r="L34" s="445" t="s">
        <v>204</v>
      </c>
      <c r="M34" s="439">
        <v>2009</v>
      </c>
      <c r="N34" s="464" t="s">
        <v>143</v>
      </c>
    </row>
    <row r="35" spans="1:14" ht="22.5" x14ac:dyDescent="0.2">
      <c r="A35" s="113" t="s">
        <v>87</v>
      </c>
      <c r="B35" s="114" t="s">
        <v>86</v>
      </c>
      <c r="C35" s="108">
        <v>4.2889999999999998E-2</v>
      </c>
      <c r="D35" s="108">
        <v>4.2500000000000003E-2</v>
      </c>
      <c r="E35" s="108">
        <v>4.2500000000000003E-2</v>
      </c>
      <c r="F35" s="108">
        <v>3.9699999999999999E-2</v>
      </c>
      <c r="G35" s="108">
        <v>0.60399999999999998</v>
      </c>
      <c r="H35" s="108">
        <v>4.9299999999999997E-2</v>
      </c>
      <c r="I35" s="108" t="s">
        <v>85</v>
      </c>
      <c r="J35" s="108">
        <v>0.13</v>
      </c>
      <c r="K35" s="108">
        <v>2.8999999999999998E-3</v>
      </c>
      <c r="L35" s="447" t="s">
        <v>204</v>
      </c>
      <c r="M35" s="150">
        <v>2009</v>
      </c>
      <c r="N35" s="465"/>
    </row>
    <row r="36" spans="1:14" ht="22.5" x14ac:dyDescent="0.2">
      <c r="A36" s="10" t="s">
        <v>88</v>
      </c>
      <c r="B36" s="11" t="s">
        <v>86</v>
      </c>
      <c r="C36" s="443">
        <v>4.2889999999999998E-2</v>
      </c>
      <c r="D36" s="109">
        <v>4.2500000000000003E-2</v>
      </c>
      <c r="E36" s="109">
        <v>4.2500000000000003E-2</v>
      </c>
      <c r="F36" s="109">
        <v>3.9699999999999999E-2</v>
      </c>
      <c r="G36" s="109">
        <v>0.60399999999999998</v>
      </c>
      <c r="H36" s="109">
        <v>4.9299999999999997E-2</v>
      </c>
      <c r="I36" s="109" t="s">
        <v>85</v>
      </c>
      <c r="J36" s="109">
        <v>0.13</v>
      </c>
      <c r="K36" s="109">
        <v>2.8999999999999998E-3</v>
      </c>
      <c r="L36" s="445" t="s">
        <v>204</v>
      </c>
      <c r="M36" s="439">
        <v>2009</v>
      </c>
      <c r="N36" s="465"/>
    </row>
    <row r="37" spans="1:14" ht="22.5" x14ac:dyDescent="0.2">
      <c r="A37" s="113" t="s">
        <v>154</v>
      </c>
      <c r="B37" s="114" t="s">
        <v>86</v>
      </c>
      <c r="C37" s="108">
        <v>4.2889999999999998E-2</v>
      </c>
      <c r="D37" s="108">
        <v>4.2500000000000003E-2</v>
      </c>
      <c r="E37" s="108">
        <v>4.2500000000000003E-2</v>
      </c>
      <c r="F37" s="108">
        <v>3.9699999999999999E-2</v>
      </c>
      <c r="G37" s="108">
        <v>0.60399999999999998</v>
      </c>
      <c r="H37" s="108">
        <v>4.9299999999999997E-2</v>
      </c>
      <c r="I37" s="108" t="s">
        <v>85</v>
      </c>
      <c r="J37" s="108">
        <v>0.13</v>
      </c>
      <c r="K37" s="108">
        <v>2.8999999999999998E-3</v>
      </c>
      <c r="L37" s="447" t="s">
        <v>204</v>
      </c>
      <c r="M37" s="150">
        <v>2009</v>
      </c>
      <c r="N37" s="465"/>
    </row>
    <row r="38" spans="1:14" ht="22.5" x14ac:dyDescent="0.2">
      <c r="A38" s="10" t="s">
        <v>89</v>
      </c>
      <c r="B38" s="11" t="s">
        <v>86</v>
      </c>
      <c r="C38" s="443">
        <v>4.2889999999999998E-2</v>
      </c>
      <c r="D38" s="109">
        <v>4.2500000000000003E-2</v>
      </c>
      <c r="E38" s="109">
        <v>4.2500000000000003E-2</v>
      </c>
      <c r="F38" s="109">
        <v>3.9699999999999999E-2</v>
      </c>
      <c r="G38" s="109">
        <v>0.60399999999999998</v>
      </c>
      <c r="H38" s="109">
        <v>4.9299999999999997E-2</v>
      </c>
      <c r="I38" s="109" t="s">
        <v>85</v>
      </c>
      <c r="J38" s="109">
        <v>0.13</v>
      </c>
      <c r="K38" s="109">
        <v>2.8999999999999998E-3</v>
      </c>
      <c r="L38" s="445" t="s">
        <v>204</v>
      </c>
      <c r="M38" s="439">
        <v>2009</v>
      </c>
      <c r="N38" s="465"/>
    </row>
    <row r="39" spans="1:14" ht="22.5" x14ac:dyDescent="0.2">
      <c r="A39" s="113" t="s">
        <v>90</v>
      </c>
      <c r="B39" s="114" t="s">
        <v>86</v>
      </c>
      <c r="C39" s="108">
        <v>4.2889999999999998E-2</v>
      </c>
      <c r="D39" s="108">
        <v>4.2500000000000003E-2</v>
      </c>
      <c r="E39" s="108">
        <v>4.2500000000000003E-2</v>
      </c>
      <c r="F39" s="108">
        <v>3.9699999999999999E-2</v>
      </c>
      <c r="G39" s="108">
        <v>0.60399999999999998</v>
      </c>
      <c r="H39" s="108">
        <v>4.9299999999999997E-2</v>
      </c>
      <c r="I39" s="108" t="s">
        <v>85</v>
      </c>
      <c r="J39" s="108">
        <v>0.13</v>
      </c>
      <c r="K39" s="108">
        <v>2.8999999999999998E-3</v>
      </c>
      <c r="L39" s="447" t="s">
        <v>204</v>
      </c>
      <c r="M39" s="150">
        <v>2009</v>
      </c>
      <c r="N39" s="466"/>
    </row>
    <row r="40" spans="1:14" ht="25.5" x14ac:dyDescent="0.2">
      <c r="A40" s="10" t="s">
        <v>158</v>
      </c>
      <c r="B40" s="11" t="s">
        <v>92</v>
      </c>
      <c r="C40" s="123"/>
      <c r="D40" s="107">
        <v>4.0000000000000002E-4</v>
      </c>
      <c r="E40" s="107">
        <v>4.0000000000000002E-4</v>
      </c>
      <c r="F40" s="107">
        <v>4.0000000000000002E-4</v>
      </c>
      <c r="G40" s="109">
        <v>6.0000000000000001E-3</v>
      </c>
      <c r="H40" s="109">
        <v>5.0000000000000001E-4</v>
      </c>
      <c r="I40" s="109" t="s">
        <v>85</v>
      </c>
      <c r="J40" s="109">
        <v>1.2999999999999999E-3</v>
      </c>
      <c r="K40" s="109" t="s">
        <v>85</v>
      </c>
      <c r="L40" s="446" t="s">
        <v>112</v>
      </c>
      <c r="M40" s="15">
        <v>2014</v>
      </c>
      <c r="N40" s="300" t="s">
        <v>182</v>
      </c>
    </row>
    <row r="41" spans="1:14" ht="25.5" x14ac:dyDescent="0.2">
      <c r="A41" s="113" t="s">
        <v>190</v>
      </c>
      <c r="B41" s="114" t="s">
        <v>83</v>
      </c>
      <c r="C41" s="108">
        <v>0.32</v>
      </c>
      <c r="D41" s="106">
        <v>0.19306322140000001</v>
      </c>
      <c r="E41" s="106">
        <v>0.18727136950000001</v>
      </c>
      <c r="F41" s="106">
        <v>4.6576422000000001E-3</v>
      </c>
      <c r="G41" s="106">
        <v>7.6669294640000007</v>
      </c>
      <c r="H41" s="106">
        <v>0.22044010550000001</v>
      </c>
      <c r="I41" s="435">
        <v>2.2371E-5</v>
      </c>
      <c r="J41" s="106">
        <v>1.2025396824000001</v>
      </c>
      <c r="K41" s="106">
        <v>2.2371000000000001E-3</v>
      </c>
      <c r="L41" s="115" t="s">
        <v>201</v>
      </c>
      <c r="M41" s="150" t="s">
        <v>155</v>
      </c>
      <c r="N41" s="265" t="s">
        <v>162</v>
      </c>
    </row>
    <row r="42" spans="1:14" ht="26.25" thickBot="1" x14ac:dyDescent="0.25">
      <c r="A42" s="139" t="s">
        <v>189</v>
      </c>
      <c r="B42" s="442" t="s">
        <v>83</v>
      </c>
      <c r="C42" s="444">
        <v>0.32</v>
      </c>
      <c r="D42" s="440">
        <v>0.19306322140000001</v>
      </c>
      <c r="E42" s="440">
        <v>0.18727136950000001</v>
      </c>
      <c r="F42" s="440">
        <v>4.6576422000000001E-3</v>
      </c>
      <c r="G42" s="440">
        <v>7.6669294640000007</v>
      </c>
      <c r="H42" s="440">
        <v>0.22044010550000001</v>
      </c>
      <c r="I42" s="441">
        <v>2.2371E-5</v>
      </c>
      <c r="J42" s="440">
        <v>1.2025396824000001</v>
      </c>
      <c r="K42" s="440">
        <v>2.2371000000000001E-3</v>
      </c>
      <c r="L42" s="448" t="s">
        <v>201</v>
      </c>
      <c r="M42" s="449" t="s">
        <v>155</v>
      </c>
      <c r="N42" s="302" t="s">
        <v>162</v>
      </c>
    </row>
    <row r="43" spans="1:14" ht="13.5" thickTop="1" x14ac:dyDescent="0.2">
      <c r="F43" s="7"/>
      <c r="L43" s="9"/>
      <c r="M43" s="9"/>
    </row>
    <row r="44" spans="1:14" ht="13.5" thickBot="1" x14ac:dyDescent="0.25">
      <c r="A44" s="13"/>
    </row>
    <row r="45" spans="1:14" ht="24.75" customHeight="1" thickTop="1" x14ac:dyDescent="0.2">
      <c r="A45" s="91" t="s">
        <v>203</v>
      </c>
      <c r="B45" s="92" t="s">
        <v>35</v>
      </c>
      <c r="C45" s="93" t="s">
        <v>36</v>
      </c>
      <c r="D45" s="369"/>
      <c r="E45" s="369"/>
      <c r="G45" s="454" t="s">
        <v>94</v>
      </c>
      <c r="H45" s="455"/>
      <c r="I45" s="456"/>
      <c r="J45" s="162"/>
    </row>
    <row r="46" spans="1:14" x14ac:dyDescent="0.2">
      <c r="A46" s="94" t="s">
        <v>37</v>
      </c>
      <c r="B46" s="257">
        <v>3.38</v>
      </c>
      <c r="C46" s="72" t="s">
        <v>38</v>
      </c>
      <c r="D46" s="370"/>
      <c r="E46" s="370"/>
      <c r="G46" s="163" t="s">
        <v>93</v>
      </c>
      <c r="H46" s="112">
        <v>7.05</v>
      </c>
      <c r="I46" s="164" t="s">
        <v>95</v>
      </c>
      <c r="J46" s="7"/>
      <c r="L46" s="263"/>
    </row>
    <row r="47" spans="1:14" ht="15.75" thickBot="1" x14ac:dyDescent="0.25">
      <c r="A47" s="124" t="s">
        <v>39</v>
      </c>
      <c r="B47" s="260">
        <v>1.5E-3</v>
      </c>
      <c r="C47" s="126" t="s">
        <v>40</v>
      </c>
      <c r="D47" s="371"/>
      <c r="E47" s="371"/>
      <c r="G47" s="160" t="s">
        <v>96</v>
      </c>
      <c r="H47" s="161">
        <v>19300</v>
      </c>
      <c r="I47" s="165" t="s">
        <v>97</v>
      </c>
      <c r="J47" s="2"/>
      <c r="K47" s="2"/>
      <c r="L47" s="264"/>
      <c r="M47" s="2"/>
      <c r="N47" s="303"/>
    </row>
    <row r="48" spans="1:14" ht="14.25" thickTop="1" thickBot="1" x14ac:dyDescent="0.25">
      <c r="A48" s="124" t="s">
        <v>159</v>
      </c>
      <c r="B48" s="260">
        <v>3.38</v>
      </c>
      <c r="C48" s="126" t="s">
        <v>38</v>
      </c>
      <c r="D48" s="371"/>
      <c r="E48" s="371"/>
      <c r="G48" s="2"/>
      <c r="H48" s="2"/>
      <c r="I48" s="2"/>
      <c r="J48" s="2"/>
      <c r="K48" s="2"/>
      <c r="L48" s="2"/>
      <c r="M48" s="2"/>
      <c r="N48" s="303"/>
    </row>
    <row r="49" spans="1:14" ht="14.25" thickTop="1" thickBot="1" x14ac:dyDescent="0.25">
      <c r="A49" s="127" t="s">
        <v>41</v>
      </c>
      <c r="B49" s="128">
        <v>1</v>
      </c>
      <c r="C49" s="129" t="s">
        <v>40</v>
      </c>
      <c r="D49" s="371"/>
      <c r="E49" s="371"/>
      <c r="G49" s="470" t="s">
        <v>98</v>
      </c>
      <c r="H49" s="471"/>
      <c r="I49" s="471"/>
      <c r="J49" s="472"/>
      <c r="K49" s="2"/>
      <c r="L49" s="2"/>
      <c r="M49" s="2"/>
      <c r="N49" s="303"/>
    </row>
    <row r="50" spans="1:14" ht="14.25" thickTop="1" thickBot="1" x14ac:dyDescent="0.25">
      <c r="A50" s="2"/>
      <c r="B50" s="2"/>
      <c r="C50" s="2"/>
      <c r="D50" s="2"/>
      <c r="E50" s="2"/>
      <c r="G50" s="160" t="s">
        <v>96</v>
      </c>
      <c r="H50" s="161">
        <v>1050</v>
      </c>
      <c r="I50" s="452" t="s">
        <v>99</v>
      </c>
      <c r="J50" s="453"/>
      <c r="K50" s="2"/>
      <c r="L50" s="2"/>
      <c r="M50" s="2"/>
      <c r="N50" s="303"/>
    </row>
    <row r="51" spans="1:14" ht="14.25" thickTop="1" thickBot="1" x14ac:dyDescent="0.25">
      <c r="A51" s="2"/>
      <c r="B51" s="2"/>
      <c r="C51" s="2"/>
      <c r="D51" s="2"/>
      <c r="E51" s="2"/>
      <c r="F51" s="2"/>
      <c r="G51" s="2"/>
      <c r="H51" s="2"/>
      <c r="I51" s="2"/>
      <c r="J51" s="2"/>
      <c r="K51" s="2"/>
      <c r="L51" s="2"/>
      <c r="M51" s="2"/>
      <c r="N51" s="303"/>
    </row>
    <row r="52" spans="1:14" ht="13.5" thickTop="1" x14ac:dyDescent="0.2">
      <c r="A52" s="308" t="s">
        <v>191</v>
      </c>
      <c r="B52" s="309" t="s">
        <v>35</v>
      </c>
      <c r="C52" s="310" t="s">
        <v>36</v>
      </c>
      <c r="D52" s="372"/>
      <c r="E52" s="372"/>
      <c r="F52" s="2"/>
      <c r="G52" s="2"/>
      <c r="H52" s="2"/>
      <c r="I52" s="2"/>
      <c r="J52" s="2"/>
      <c r="K52" s="2"/>
      <c r="L52" s="2"/>
      <c r="M52" s="2"/>
      <c r="N52" s="303"/>
    </row>
    <row r="53" spans="1:14" x14ac:dyDescent="0.2">
      <c r="A53" s="311" t="s">
        <v>177</v>
      </c>
      <c r="B53" s="125">
        <v>0.68159999999999998</v>
      </c>
      <c r="C53" s="126" t="s">
        <v>178</v>
      </c>
      <c r="D53" s="371"/>
      <c r="E53" s="371"/>
      <c r="F53" s="2"/>
      <c r="G53" s="2"/>
      <c r="H53" s="2"/>
      <c r="I53" s="2"/>
      <c r="J53" s="2"/>
      <c r="K53" s="2"/>
      <c r="L53" s="2"/>
      <c r="M53" s="2"/>
      <c r="N53" s="303"/>
    </row>
    <row r="54" spans="1:14" ht="13.5" thickBot="1" x14ac:dyDescent="0.25">
      <c r="A54" s="160" t="s">
        <v>192</v>
      </c>
      <c r="B54" s="312">
        <v>98</v>
      </c>
      <c r="C54" s="306" t="s">
        <v>179</v>
      </c>
      <c r="D54" s="371"/>
      <c r="E54" s="371"/>
      <c r="F54" s="2"/>
      <c r="G54" s="2"/>
      <c r="H54" s="2"/>
      <c r="I54" s="2"/>
      <c r="J54" s="2"/>
      <c r="K54" s="2"/>
      <c r="L54" s="2"/>
      <c r="M54" s="2"/>
      <c r="N54" s="303"/>
    </row>
    <row r="55" spans="1:14" ht="13.5" thickTop="1" x14ac:dyDescent="0.2">
      <c r="A55" s="2"/>
      <c r="B55" s="2"/>
      <c r="C55" s="2"/>
      <c r="D55" s="2"/>
      <c r="E55" s="2"/>
      <c r="F55" s="2"/>
      <c r="G55" s="2"/>
      <c r="H55" s="2"/>
      <c r="I55" s="2"/>
      <c r="J55" s="2"/>
      <c r="K55" s="2"/>
      <c r="L55" s="2"/>
      <c r="M55" s="2"/>
      <c r="N55" s="303"/>
    </row>
    <row r="56" spans="1:14" x14ac:dyDescent="0.2">
      <c r="A56" s="2"/>
      <c r="B56" s="2"/>
      <c r="C56" s="2"/>
      <c r="D56" s="2"/>
      <c r="E56" s="2"/>
      <c r="F56" s="2"/>
      <c r="G56" s="2"/>
      <c r="H56" s="2"/>
      <c r="I56" s="2"/>
      <c r="J56" s="2"/>
      <c r="K56" s="2"/>
      <c r="L56" s="2"/>
      <c r="M56" s="2"/>
      <c r="N56" s="303"/>
    </row>
    <row r="57" spans="1:14" x14ac:dyDescent="0.2">
      <c r="A57" s="2"/>
      <c r="B57" s="2"/>
      <c r="C57" s="2"/>
      <c r="D57" s="2"/>
      <c r="E57" s="2"/>
      <c r="F57" s="2"/>
      <c r="G57" s="2"/>
      <c r="H57" s="2"/>
      <c r="I57" s="2"/>
      <c r="J57" s="2"/>
      <c r="K57" s="2"/>
      <c r="L57" s="2"/>
      <c r="M57" s="2"/>
      <c r="N57" s="303"/>
    </row>
    <row r="58" spans="1:14" x14ac:dyDescent="0.2">
      <c r="A58" s="2"/>
      <c r="B58" s="2"/>
      <c r="C58" s="2"/>
      <c r="D58" s="2"/>
      <c r="E58" s="2"/>
      <c r="F58" s="2"/>
      <c r="G58" s="2"/>
      <c r="H58" s="2"/>
      <c r="I58" s="2"/>
      <c r="J58" s="2"/>
      <c r="K58" s="2"/>
      <c r="L58" s="2"/>
      <c r="M58" s="2"/>
      <c r="N58" s="303"/>
    </row>
    <row r="59" spans="1:14" x14ac:dyDescent="0.2">
      <c r="A59" s="2"/>
      <c r="B59" s="2"/>
      <c r="C59" s="2"/>
      <c r="D59" s="2"/>
      <c r="E59" s="2"/>
      <c r="F59" s="2"/>
      <c r="G59" s="2"/>
      <c r="H59" s="2"/>
      <c r="I59" s="2"/>
      <c r="J59" s="2"/>
      <c r="K59" s="2"/>
      <c r="L59" s="2"/>
      <c r="M59" s="2"/>
      <c r="N59" s="303"/>
    </row>
    <row r="60" spans="1:14" x14ac:dyDescent="0.2">
      <c r="A60" s="2"/>
      <c r="B60" s="2"/>
      <c r="C60" s="2"/>
      <c r="D60" s="2"/>
      <c r="E60" s="2"/>
      <c r="F60" s="2"/>
      <c r="G60" s="2"/>
      <c r="H60" s="2"/>
      <c r="I60" s="2"/>
      <c r="J60" s="2"/>
      <c r="K60" s="2"/>
      <c r="L60" s="2"/>
      <c r="M60" s="2"/>
      <c r="N60" s="303"/>
    </row>
    <row r="61" spans="1:14" x14ac:dyDescent="0.2">
      <c r="A61" s="2"/>
      <c r="B61" s="2"/>
      <c r="C61" s="2"/>
      <c r="D61" s="2"/>
      <c r="E61" s="2"/>
      <c r="F61" s="2"/>
      <c r="G61" s="2"/>
      <c r="H61" s="2"/>
      <c r="I61" s="2"/>
      <c r="J61" s="2"/>
      <c r="K61" s="2"/>
      <c r="L61" s="2"/>
      <c r="M61" s="2"/>
      <c r="N61" s="303"/>
    </row>
    <row r="62" spans="1:14" x14ac:dyDescent="0.2">
      <c r="A62" s="2"/>
      <c r="B62" s="2"/>
      <c r="C62" s="2"/>
      <c r="D62" s="2"/>
      <c r="E62" s="2"/>
      <c r="F62" s="2"/>
      <c r="G62" s="2"/>
      <c r="H62" s="2"/>
      <c r="I62" s="2"/>
      <c r="J62" s="2"/>
      <c r="K62" s="2"/>
      <c r="L62" s="2"/>
      <c r="M62" s="2"/>
      <c r="N62" s="303"/>
    </row>
    <row r="63" spans="1:14" x14ac:dyDescent="0.2">
      <c r="A63" s="2"/>
      <c r="B63" s="2"/>
      <c r="C63" s="2"/>
      <c r="D63" s="2"/>
      <c r="E63" s="2"/>
      <c r="F63" s="2"/>
      <c r="G63" s="2"/>
      <c r="H63" s="2"/>
      <c r="I63" s="2"/>
      <c r="J63" s="2"/>
      <c r="K63" s="2"/>
      <c r="L63" s="2"/>
      <c r="M63" s="2"/>
      <c r="N63" s="303"/>
    </row>
    <row r="64" spans="1:14" x14ac:dyDescent="0.2">
      <c r="A64" s="2"/>
      <c r="B64" s="2"/>
      <c r="C64" s="2"/>
      <c r="D64" s="2"/>
      <c r="E64" s="2"/>
      <c r="F64" s="2"/>
      <c r="G64" s="2"/>
      <c r="H64" s="2"/>
      <c r="I64" s="2"/>
      <c r="J64" s="2"/>
      <c r="K64" s="2"/>
      <c r="L64" s="2"/>
      <c r="M64" s="2"/>
      <c r="N64" s="303"/>
    </row>
    <row r="65" spans="1:14" x14ac:dyDescent="0.2">
      <c r="A65" s="2"/>
      <c r="B65" s="2"/>
      <c r="C65" s="2"/>
      <c r="D65" s="2"/>
      <c r="E65" s="2"/>
      <c r="F65" s="2"/>
      <c r="G65" s="2"/>
      <c r="H65" s="2"/>
      <c r="I65" s="2"/>
      <c r="J65" s="2"/>
      <c r="K65" s="2"/>
      <c r="L65" s="2"/>
      <c r="M65" s="2"/>
      <c r="N65" s="303"/>
    </row>
    <row r="66" spans="1:14" x14ac:dyDescent="0.2">
      <c r="A66" s="2"/>
      <c r="B66" s="2"/>
      <c r="C66" s="2"/>
      <c r="D66" s="2"/>
      <c r="E66" s="2"/>
      <c r="F66" s="2"/>
      <c r="G66" s="2"/>
      <c r="H66" s="2"/>
      <c r="I66" s="2"/>
      <c r="J66" s="2"/>
      <c r="K66" s="2"/>
      <c r="L66" s="2"/>
      <c r="M66" s="2"/>
      <c r="N66" s="303"/>
    </row>
    <row r="67" spans="1:14" x14ac:dyDescent="0.2">
      <c r="A67" s="2"/>
      <c r="B67" s="2"/>
      <c r="C67" s="2"/>
      <c r="D67" s="2"/>
      <c r="E67" s="2"/>
      <c r="F67" s="2"/>
      <c r="G67" s="2"/>
      <c r="H67" s="2"/>
      <c r="I67" s="2"/>
      <c r="J67" s="2"/>
      <c r="K67" s="2"/>
      <c r="L67" s="2"/>
      <c r="M67" s="2"/>
      <c r="N67" s="303"/>
    </row>
    <row r="68" spans="1:14" x14ac:dyDescent="0.2">
      <c r="A68" s="2"/>
      <c r="B68" s="2"/>
      <c r="C68" s="2"/>
      <c r="D68" s="2"/>
      <c r="E68" s="2"/>
      <c r="F68" s="2"/>
      <c r="G68" s="2"/>
      <c r="H68" s="2"/>
      <c r="I68" s="2"/>
      <c r="J68" s="2"/>
      <c r="K68" s="2"/>
      <c r="L68" s="2"/>
      <c r="M68" s="2"/>
      <c r="N68" s="303"/>
    </row>
    <row r="69" spans="1:14" x14ac:dyDescent="0.2">
      <c r="A69" s="2"/>
      <c r="B69" s="2"/>
      <c r="C69" s="2"/>
      <c r="D69" s="2"/>
      <c r="E69" s="2"/>
      <c r="F69" s="2"/>
      <c r="G69" s="2"/>
      <c r="H69" s="2"/>
      <c r="I69" s="2"/>
      <c r="J69" s="2"/>
      <c r="K69" s="2"/>
      <c r="L69" s="2"/>
      <c r="M69" s="2"/>
      <c r="N69" s="303"/>
    </row>
    <row r="70" spans="1:14" x14ac:dyDescent="0.2">
      <c r="A70" s="2"/>
      <c r="B70" s="2"/>
      <c r="C70" s="2"/>
      <c r="D70" s="2"/>
      <c r="E70" s="2"/>
      <c r="F70" s="2"/>
      <c r="G70" s="2"/>
      <c r="H70" s="2"/>
      <c r="I70" s="2"/>
      <c r="J70" s="2"/>
      <c r="K70" s="2"/>
      <c r="L70" s="2"/>
      <c r="M70" s="2"/>
      <c r="N70" s="303"/>
    </row>
    <row r="71" spans="1:14" x14ac:dyDescent="0.2">
      <c r="A71" s="2"/>
      <c r="B71" s="2"/>
      <c r="C71" s="2"/>
      <c r="D71" s="2"/>
      <c r="E71" s="2"/>
      <c r="F71" s="2"/>
      <c r="G71" s="2"/>
      <c r="H71" s="2"/>
      <c r="I71" s="2"/>
      <c r="J71" s="2"/>
      <c r="K71" s="2"/>
      <c r="L71" s="2"/>
      <c r="M71" s="2"/>
      <c r="N71" s="303"/>
    </row>
    <row r="72" spans="1:14" x14ac:dyDescent="0.2">
      <c r="A72" s="2"/>
      <c r="B72" s="2"/>
      <c r="C72" s="2"/>
      <c r="D72" s="2"/>
      <c r="E72" s="2"/>
      <c r="F72" s="2"/>
      <c r="G72" s="2"/>
      <c r="H72" s="2"/>
      <c r="I72" s="2"/>
      <c r="J72" s="2"/>
      <c r="K72" s="2"/>
      <c r="L72" s="2"/>
      <c r="M72" s="2"/>
      <c r="N72" s="303"/>
    </row>
    <row r="73" spans="1:14" x14ac:dyDescent="0.2">
      <c r="A73" s="2"/>
      <c r="B73" s="2"/>
      <c r="C73" s="2"/>
      <c r="D73" s="2"/>
      <c r="E73" s="2"/>
      <c r="F73" s="2"/>
      <c r="G73" s="2"/>
      <c r="H73" s="2"/>
      <c r="I73" s="2"/>
      <c r="J73" s="2"/>
      <c r="K73" s="2"/>
      <c r="L73" s="2"/>
      <c r="M73" s="2"/>
      <c r="N73" s="303"/>
    </row>
    <row r="74" spans="1:14" x14ac:dyDescent="0.2">
      <c r="A74" s="2"/>
      <c r="B74" s="2"/>
      <c r="C74" s="2"/>
      <c r="D74" s="2"/>
      <c r="E74" s="2"/>
      <c r="F74" s="2"/>
      <c r="G74" s="2"/>
      <c r="H74" s="2"/>
      <c r="I74" s="2"/>
      <c r="J74" s="2"/>
      <c r="K74" s="2"/>
      <c r="L74" s="2"/>
      <c r="M74" s="2"/>
      <c r="N74" s="303"/>
    </row>
    <row r="75" spans="1:14" x14ac:dyDescent="0.2">
      <c r="A75" s="2"/>
      <c r="B75" s="2"/>
      <c r="C75" s="2"/>
      <c r="D75" s="2"/>
      <c r="E75" s="2"/>
      <c r="F75" s="2"/>
      <c r="G75" s="2"/>
      <c r="H75" s="2"/>
      <c r="I75" s="2"/>
      <c r="J75" s="2"/>
      <c r="K75" s="2"/>
      <c r="L75" s="2"/>
      <c r="M75" s="2"/>
      <c r="N75" s="303"/>
    </row>
    <row r="76" spans="1:14" x14ac:dyDescent="0.2">
      <c r="A76" s="2"/>
      <c r="B76" s="2"/>
      <c r="C76" s="2"/>
      <c r="D76" s="2"/>
      <c r="E76" s="2"/>
      <c r="F76" s="2"/>
      <c r="G76" s="2"/>
      <c r="H76" s="2"/>
      <c r="I76" s="2"/>
      <c r="J76" s="2"/>
      <c r="K76" s="2"/>
      <c r="L76" s="2"/>
      <c r="M76" s="2"/>
      <c r="N76" s="303"/>
    </row>
    <row r="77" spans="1:14" x14ac:dyDescent="0.2">
      <c r="A77" s="2"/>
      <c r="B77" s="2"/>
      <c r="C77" s="2"/>
      <c r="D77" s="2"/>
      <c r="E77" s="2"/>
      <c r="F77" s="2"/>
      <c r="G77" s="2"/>
      <c r="H77" s="2"/>
      <c r="I77" s="2"/>
      <c r="J77" s="2"/>
      <c r="K77" s="2"/>
      <c r="L77" s="2"/>
      <c r="M77" s="2"/>
      <c r="N77" s="303"/>
    </row>
    <row r="78" spans="1:14" x14ac:dyDescent="0.2">
      <c r="A78" s="2"/>
      <c r="B78" s="2"/>
      <c r="C78" s="2"/>
      <c r="D78" s="2"/>
      <c r="E78" s="2"/>
      <c r="F78" s="2"/>
      <c r="G78" s="2"/>
      <c r="H78" s="2"/>
      <c r="I78" s="2"/>
      <c r="J78" s="2"/>
      <c r="K78" s="2"/>
      <c r="L78" s="2"/>
      <c r="M78" s="2"/>
      <c r="N78" s="303"/>
    </row>
    <row r="79" spans="1:14" x14ac:dyDescent="0.2">
      <c r="A79" s="2"/>
      <c r="B79" s="2"/>
      <c r="C79" s="2"/>
      <c r="D79" s="2"/>
      <c r="E79" s="2"/>
      <c r="F79" s="2"/>
      <c r="G79" s="2"/>
      <c r="H79" s="2"/>
      <c r="I79" s="2"/>
      <c r="J79" s="2"/>
      <c r="K79" s="2"/>
      <c r="L79" s="2"/>
      <c r="M79" s="2"/>
      <c r="N79" s="303"/>
    </row>
    <row r="80" spans="1:14" ht="24" customHeight="1" x14ac:dyDescent="0.2">
      <c r="A80" s="2"/>
      <c r="B80" s="2"/>
      <c r="C80" s="2"/>
      <c r="D80" s="2"/>
      <c r="E80" s="2"/>
      <c r="F80" s="2"/>
      <c r="G80" s="2"/>
      <c r="H80" s="2"/>
      <c r="I80" s="2"/>
      <c r="J80" s="2"/>
      <c r="K80" s="2"/>
      <c r="L80" s="2"/>
      <c r="M80" s="2"/>
      <c r="N80" s="303"/>
    </row>
    <row r="81" spans="1:14" x14ac:dyDescent="0.2">
      <c r="A81" s="2"/>
      <c r="B81" s="2"/>
      <c r="C81" s="2"/>
      <c r="D81" s="2"/>
      <c r="E81" s="2"/>
      <c r="F81" s="2"/>
      <c r="G81" s="2"/>
      <c r="H81" s="2"/>
      <c r="I81" s="2"/>
      <c r="J81" s="2"/>
      <c r="K81" s="2"/>
      <c r="L81" s="2"/>
      <c r="M81" s="2"/>
      <c r="N81" s="303"/>
    </row>
    <row r="82" spans="1:14" x14ac:dyDescent="0.2">
      <c r="A82" s="2"/>
      <c r="B82" s="2"/>
      <c r="C82" s="2"/>
      <c r="D82" s="2"/>
      <c r="E82" s="2"/>
      <c r="F82" s="2"/>
      <c r="G82" s="2"/>
      <c r="H82" s="2"/>
      <c r="I82" s="2"/>
      <c r="J82" s="2"/>
      <c r="K82" s="2"/>
      <c r="L82" s="2"/>
      <c r="M82" s="2"/>
      <c r="N82" s="303"/>
    </row>
    <row r="83" spans="1:14" x14ac:dyDescent="0.2">
      <c r="A83" s="2"/>
      <c r="B83" s="2"/>
      <c r="C83" s="2"/>
      <c r="D83" s="2"/>
      <c r="E83" s="2"/>
      <c r="F83" s="2"/>
      <c r="G83" s="2"/>
      <c r="H83" s="2"/>
      <c r="I83" s="2"/>
      <c r="J83" s="2"/>
      <c r="K83" s="2"/>
      <c r="L83" s="2"/>
      <c r="M83" s="2"/>
      <c r="N83" s="303"/>
    </row>
    <row r="84" spans="1:14" ht="25.5" customHeight="1" x14ac:dyDescent="0.2">
      <c r="A84" s="2"/>
      <c r="B84" s="2"/>
      <c r="C84" s="2"/>
      <c r="D84" s="2"/>
      <c r="E84" s="2"/>
      <c r="F84" s="2"/>
      <c r="G84" s="2"/>
      <c r="H84" s="2"/>
      <c r="I84" s="2"/>
      <c r="J84" s="2"/>
      <c r="K84" s="2"/>
      <c r="L84" s="2"/>
      <c r="M84" s="2"/>
      <c r="N84" s="303"/>
    </row>
    <row r="85" spans="1:14" x14ac:dyDescent="0.2">
      <c r="A85" s="2"/>
      <c r="B85" s="2"/>
      <c r="C85" s="2"/>
      <c r="D85" s="2"/>
      <c r="E85" s="2"/>
      <c r="F85" s="2"/>
      <c r="G85" s="2"/>
      <c r="H85" s="2"/>
      <c r="I85" s="2"/>
      <c r="J85" s="2"/>
      <c r="K85" s="2"/>
      <c r="L85" s="2"/>
      <c r="M85" s="2"/>
      <c r="N85" s="303"/>
    </row>
    <row r="86" spans="1:14" x14ac:dyDescent="0.2">
      <c r="A86" s="2"/>
      <c r="B86" s="2"/>
      <c r="C86" s="2"/>
      <c r="D86" s="2"/>
      <c r="E86" s="2"/>
      <c r="F86" s="2"/>
      <c r="G86" s="2"/>
      <c r="H86" s="2"/>
      <c r="I86" s="2"/>
      <c r="J86" s="2"/>
      <c r="K86" s="2"/>
      <c r="L86" s="2"/>
      <c r="M86" s="2"/>
      <c r="N86" s="303"/>
    </row>
    <row r="87" spans="1:14" x14ac:dyDescent="0.2">
      <c r="A87" s="2"/>
      <c r="B87" s="2"/>
      <c r="C87" s="2"/>
      <c r="D87" s="2"/>
      <c r="E87" s="2"/>
      <c r="F87" s="2"/>
      <c r="G87" s="2"/>
      <c r="H87" s="2"/>
      <c r="I87" s="2"/>
      <c r="J87" s="2"/>
      <c r="K87" s="2"/>
      <c r="L87" s="2"/>
      <c r="M87" s="2"/>
      <c r="N87" s="303"/>
    </row>
    <row r="88" spans="1:14" x14ac:dyDescent="0.2">
      <c r="A88" s="2"/>
      <c r="B88" s="2"/>
      <c r="C88" s="2"/>
      <c r="D88" s="2"/>
      <c r="E88" s="2"/>
      <c r="F88" s="2"/>
      <c r="G88" s="2"/>
      <c r="H88" s="2"/>
      <c r="I88" s="2"/>
      <c r="J88" s="2"/>
      <c r="K88" s="2"/>
      <c r="L88" s="2"/>
      <c r="M88" s="2"/>
      <c r="N88" s="303"/>
    </row>
    <row r="89" spans="1:14" x14ac:dyDescent="0.2">
      <c r="A89" s="2"/>
      <c r="B89" s="2"/>
      <c r="C89" s="2"/>
      <c r="D89" s="2"/>
      <c r="E89" s="2"/>
      <c r="F89" s="2"/>
      <c r="G89" s="2"/>
      <c r="H89" s="2"/>
      <c r="I89" s="2"/>
      <c r="J89" s="2"/>
      <c r="K89" s="2"/>
      <c r="L89" s="2"/>
      <c r="M89" s="2"/>
      <c r="N89" s="303"/>
    </row>
    <row r="90" spans="1:14" x14ac:dyDescent="0.2">
      <c r="A90" s="2"/>
      <c r="B90" s="2"/>
      <c r="C90" s="2"/>
      <c r="D90" s="2"/>
      <c r="E90" s="2"/>
      <c r="F90" s="2"/>
      <c r="G90" s="2"/>
      <c r="H90" s="2"/>
      <c r="I90" s="2"/>
      <c r="J90" s="2"/>
      <c r="K90" s="2"/>
      <c r="L90" s="2"/>
      <c r="M90" s="2"/>
      <c r="N90" s="303"/>
    </row>
    <row r="91" spans="1:14" x14ac:dyDescent="0.2">
      <c r="A91" s="2"/>
      <c r="B91" s="2"/>
      <c r="C91" s="2"/>
      <c r="D91" s="2"/>
      <c r="E91" s="2"/>
      <c r="F91" s="2"/>
      <c r="G91" s="2"/>
      <c r="H91" s="2"/>
      <c r="I91" s="2"/>
      <c r="J91" s="2"/>
      <c r="K91" s="2"/>
      <c r="L91" s="2"/>
      <c r="M91" s="2"/>
      <c r="N91" s="303"/>
    </row>
    <row r="92" spans="1:14" x14ac:dyDescent="0.2">
      <c r="A92" s="2"/>
      <c r="B92" s="2"/>
      <c r="C92" s="2"/>
      <c r="D92" s="2"/>
      <c r="E92" s="2"/>
      <c r="F92" s="2"/>
      <c r="G92" s="2"/>
      <c r="H92" s="2"/>
      <c r="I92" s="2"/>
      <c r="J92" s="2"/>
      <c r="K92" s="2"/>
      <c r="L92" s="2"/>
      <c r="M92" s="2"/>
      <c r="N92" s="303"/>
    </row>
    <row r="93" spans="1:14" x14ac:dyDescent="0.2">
      <c r="A93" s="2"/>
      <c r="B93" s="2"/>
      <c r="C93" s="2"/>
      <c r="D93" s="2"/>
      <c r="E93" s="2"/>
      <c r="F93" s="2"/>
      <c r="G93" s="2"/>
      <c r="H93" s="2"/>
      <c r="I93" s="2"/>
      <c r="J93" s="2"/>
      <c r="K93" s="2"/>
      <c r="L93" s="2"/>
      <c r="M93" s="2"/>
      <c r="N93" s="303"/>
    </row>
    <row r="94" spans="1:14" x14ac:dyDescent="0.2">
      <c r="A94" s="2"/>
      <c r="B94" s="2"/>
      <c r="C94" s="2"/>
      <c r="D94" s="2"/>
      <c r="E94" s="2"/>
      <c r="F94" s="2"/>
      <c r="G94" s="2"/>
      <c r="H94" s="2"/>
      <c r="I94" s="2"/>
      <c r="J94" s="2"/>
      <c r="K94" s="2"/>
      <c r="L94" s="2"/>
      <c r="M94" s="2"/>
      <c r="N94" s="303"/>
    </row>
    <row r="95" spans="1:14" x14ac:dyDescent="0.2">
      <c r="A95" s="2"/>
      <c r="B95" s="2"/>
      <c r="C95" s="2"/>
      <c r="D95" s="2"/>
      <c r="E95" s="2"/>
      <c r="F95" s="2"/>
      <c r="G95" s="2"/>
      <c r="H95" s="2"/>
      <c r="I95" s="2"/>
      <c r="J95" s="2"/>
      <c r="K95" s="2"/>
      <c r="L95" s="2"/>
      <c r="M95" s="2"/>
      <c r="N95" s="303"/>
    </row>
    <row r="96" spans="1:14" x14ac:dyDescent="0.2">
      <c r="A96" s="2"/>
      <c r="B96" s="2"/>
      <c r="C96" s="2"/>
      <c r="D96" s="2"/>
      <c r="E96" s="2"/>
      <c r="F96" s="2"/>
      <c r="G96" s="2"/>
      <c r="H96" s="2"/>
      <c r="I96" s="2"/>
      <c r="J96" s="2"/>
      <c r="K96" s="2"/>
      <c r="L96" s="2"/>
      <c r="M96" s="2"/>
      <c r="N96" s="303"/>
    </row>
    <row r="97" spans="1:14" x14ac:dyDescent="0.2">
      <c r="A97" s="2"/>
      <c r="B97" s="2"/>
      <c r="C97" s="2"/>
      <c r="D97" s="2"/>
      <c r="E97" s="2"/>
      <c r="F97" s="2"/>
      <c r="G97" s="2"/>
      <c r="H97" s="2"/>
      <c r="I97" s="2"/>
      <c r="J97" s="2"/>
      <c r="K97" s="2"/>
      <c r="L97" s="2"/>
      <c r="M97" s="2"/>
      <c r="N97" s="303"/>
    </row>
    <row r="98" spans="1:14" x14ac:dyDescent="0.2">
      <c r="A98" s="2"/>
      <c r="B98" s="2"/>
      <c r="C98" s="2"/>
      <c r="D98" s="2"/>
      <c r="E98" s="2"/>
      <c r="F98" s="2"/>
      <c r="G98" s="2"/>
      <c r="H98" s="2"/>
      <c r="I98" s="2"/>
      <c r="J98" s="2"/>
      <c r="K98" s="2"/>
      <c r="L98" s="2"/>
      <c r="M98" s="2"/>
      <c r="N98" s="303"/>
    </row>
    <row r="99" spans="1:14" x14ac:dyDescent="0.2">
      <c r="A99" s="2"/>
      <c r="B99" s="2"/>
      <c r="C99" s="2"/>
      <c r="D99" s="2"/>
      <c r="E99" s="2"/>
      <c r="F99" s="2"/>
      <c r="G99" s="2"/>
      <c r="H99" s="2"/>
      <c r="I99" s="2"/>
      <c r="J99" s="2"/>
      <c r="K99" s="2"/>
      <c r="L99" s="2"/>
      <c r="M99" s="2"/>
      <c r="N99" s="303"/>
    </row>
    <row r="100" spans="1:14" x14ac:dyDescent="0.2">
      <c r="A100" s="2"/>
      <c r="B100" s="2"/>
      <c r="C100" s="2"/>
      <c r="D100" s="2"/>
      <c r="E100" s="2"/>
      <c r="F100" s="2"/>
      <c r="G100" s="2"/>
      <c r="H100" s="2"/>
      <c r="I100" s="2"/>
      <c r="J100" s="2"/>
      <c r="K100" s="2"/>
      <c r="L100" s="2"/>
      <c r="M100" s="2"/>
      <c r="N100" s="303"/>
    </row>
    <row r="101" spans="1:14" x14ac:dyDescent="0.2">
      <c r="A101" s="2"/>
      <c r="B101" s="2"/>
      <c r="C101" s="2"/>
      <c r="D101" s="2"/>
      <c r="E101" s="2"/>
      <c r="F101" s="2"/>
      <c r="G101" s="2"/>
      <c r="H101" s="2"/>
      <c r="I101" s="2"/>
      <c r="J101" s="2"/>
      <c r="K101" s="2"/>
      <c r="L101" s="2"/>
      <c r="M101" s="2"/>
      <c r="N101" s="303"/>
    </row>
    <row r="102" spans="1:14" x14ac:dyDescent="0.2">
      <c r="A102" s="2"/>
      <c r="B102" s="2"/>
      <c r="C102" s="2"/>
      <c r="D102" s="2"/>
      <c r="E102" s="2"/>
      <c r="F102" s="2"/>
      <c r="G102" s="2"/>
      <c r="H102" s="2"/>
      <c r="I102" s="2"/>
      <c r="J102" s="2"/>
      <c r="K102" s="2"/>
      <c r="L102" s="2"/>
      <c r="M102" s="2"/>
      <c r="N102" s="303"/>
    </row>
    <row r="103" spans="1:14" x14ac:dyDescent="0.2">
      <c r="A103" s="2"/>
      <c r="B103" s="2"/>
      <c r="C103" s="2"/>
      <c r="D103" s="2"/>
      <c r="E103" s="2"/>
      <c r="F103" s="2"/>
      <c r="G103" s="2"/>
      <c r="H103" s="2"/>
      <c r="I103" s="2"/>
      <c r="J103" s="2"/>
      <c r="K103" s="2"/>
      <c r="L103" s="2"/>
      <c r="M103" s="2"/>
      <c r="N103" s="303"/>
    </row>
    <row r="104" spans="1:14" x14ac:dyDescent="0.2">
      <c r="A104" s="2"/>
      <c r="B104" s="2"/>
      <c r="C104" s="2"/>
      <c r="D104" s="2"/>
      <c r="E104" s="2"/>
      <c r="F104" s="2"/>
      <c r="G104" s="2"/>
      <c r="H104" s="2"/>
      <c r="I104" s="2"/>
      <c r="J104" s="2"/>
      <c r="K104" s="2"/>
      <c r="L104" s="2"/>
      <c r="M104" s="2"/>
      <c r="N104" s="303"/>
    </row>
    <row r="105" spans="1:14" x14ac:dyDescent="0.2">
      <c r="A105" s="2"/>
      <c r="B105" s="2"/>
      <c r="C105" s="2"/>
      <c r="D105" s="2"/>
      <c r="E105" s="2"/>
      <c r="F105" s="2"/>
      <c r="G105" s="2"/>
      <c r="H105" s="2"/>
      <c r="I105" s="2"/>
      <c r="J105" s="2"/>
      <c r="K105" s="2"/>
      <c r="L105" s="2"/>
      <c r="M105" s="2"/>
      <c r="N105" s="303"/>
    </row>
    <row r="106" spans="1:14" x14ac:dyDescent="0.2">
      <c r="A106" s="2"/>
      <c r="B106" s="2"/>
      <c r="C106" s="2"/>
      <c r="D106" s="2"/>
      <c r="E106" s="2"/>
      <c r="F106" s="2"/>
      <c r="G106" s="2"/>
      <c r="H106" s="2"/>
      <c r="I106" s="2"/>
      <c r="J106" s="2"/>
      <c r="K106" s="2"/>
      <c r="L106" s="2"/>
      <c r="M106" s="2"/>
      <c r="N106" s="303"/>
    </row>
    <row r="107" spans="1:14" x14ac:dyDescent="0.2">
      <c r="A107" s="2"/>
      <c r="B107" s="2"/>
      <c r="C107" s="2"/>
      <c r="D107" s="2"/>
      <c r="E107" s="2"/>
      <c r="F107" s="2"/>
      <c r="G107" s="2"/>
      <c r="H107" s="2"/>
      <c r="I107" s="2"/>
      <c r="J107" s="2"/>
      <c r="K107" s="2"/>
      <c r="L107" s="2"/>
      <c r="M107" s="2"/>
      <c r="N107" s="303"/>
    </row>
    <row r="108" spans="1:14" x14ac:dyDescent="0.2">
      <c r="A108" s="2"/>
      <c r="B108" s="2"/>
      <c r="C108" s="2"/>
      <c r="D108" s="2"/>
      <c r="E108" s="2"/>
      <c r="F108" s="2"/>
      <c r="G108" s="2"/>
      <c r="H108" s="2"/>
      <c r="I108" s="2"/>
      <c r="J108" s="2"/>
      <c r="K108" s="2"/>
      <c r="L108" s="2"/>
      <c r="M108" s="2"/>
      <c r="N108" s="303"/>
    </row>
    <row r="109" spans="1:14" x14ac:dyDescent="0.2">
      <c r="A109" s="2"/>
      <c r="B109" s="2"/>
      <c r="C109" s="2"/>
      <c r="D109" s="2"/>
      <c r="E109" s="2"/>
      <c r="F109" s="2"/>
      <c r="G109" s="2"/>
      <c r="H109" s="2"/>
      <c r="I109" s="2"/>
      <c r="J109" s="2"/>
      <c r="K109" s="2"/>
      <c r="L109" s="2"/>
      <c r="M109" s="2"/>
      <c r="N109" s="303"/>
    </row>
    <row r="110" spans="1:14" x14ac:dyDescent="0.2">
      <c r="A110" s="2"/>
      <c r="B110" s="2"/>
      <c r="C110" s="2"/>
      <c r="D110" s="2"/>
      <c r="E110" s="2"/>
      <c r="F110" s="2"/>
      <c r="G110" s="2"/>
      <c r="H110" s="2"/>
      <c r="I110" s="2"/>
      <c r="J110" s="2"/>
      <c r="K110" s="2"/>
      <c r="L110" s="2"/>
      <c r="M110" s="2"/>
      <c r="N110" s="303"/>
    </row>
    <row r="111" spans="1:14" x14ac:dyDescent="0.2">
      <c r="A111" s="2"/>
      <c r="B111" s="2"/>
      <c r="C111" s="2"/>
      <c r="D111" s="2"/>
      <c r="E111" s="2"/>
      <c r="F111" s="2"/>
      <c r="G111" s="2"/>
      <c r="H111" s="2"/>
      <c r="I111" s="2"/>
      <c r="J111" s="2"/>
      <c r="K111" s="2"/>
      <c r="L111" s="2"/>
      <c r="M111" s="2"/>
      <c r="N111" s="303"/>
    </row>
    <row r="112" spans="1:14" x14ac:dyDescent="0.2">
      <c r="A112" s="2"/>
      <c r="B112" s="2"/>
      <c r="C112" s="2"/>
      <c r="D112" s="2"/>
      <c r="E112" s="2"/>
      <c r="F112" s="2"/>
      <c r="G112" s="2"/>
      <c r="H112" s="2"/>
      <c r="I112" s="2"/>
      <c r="J112" s="2"/>
      <c r="K112" s="2"/>
      <c r="L112" s="2"/>
      <c r="M112" s="2"/>
      <c r="N112" s="303"/>
    </row>
    <row r="113" spans="1:14" x14ac:dyDescent="0.2">
      <c r="A113" s="2"/>
      <c r="B113" s="2"/>
      <c r="C113" s="2"/>
      <c r="D113" s="2"/>
      <c r="E113" s="2"/>
      <c r="F113" s="2"/>
      <c r="G113" s="2"/>
      <c r="H113" s="2"/>
      <c r="I113" s="2"/>
      <c r="J113" s="2"/>
      <c r="K113" s="2"/>
      <c r="L113" s="2"/>
      <c r="M113" s="2"/>
      <c r="N113" s="303"/>
    </row>
    <row r="114" spans="1:14" x14ac:dyDescent="0.2">
      <c r="A114" s="2"/>
      <c r="B114" s="2"/>
      <c r="C114" s="2"/>
      <c r="D114" s="2"/>
      <c r="E114" s="2"/>
      <c r="F114" s="2"/>
      <c r="G114" s="2"/>
      <c r="H114" s="2"/>
      <c r="I114" s="2"/>
      <c r="J114" s="2"/>
      <c r="K114" s="2"/>
      <c r="L114" s="2"/>
      <c r="M114" s="2"/>
      <c r="N114" s="303"/>
    </row>
    <row r="115" spans="1:14" x14ac:dyDescent="0.2">
      <c r="A115" s="2"/>
      <c r="B115" s="2"/>
      <c r="C115" s="2"/>
      <c r="D115" s="2"/>
      <c r="E115" s="2"/>
      <c r="F115" s="2"/>
      <c r="G115" s="2"/>
      <c r="H115" s="2"/>
      <c r="I115" s="2"/>
      <c r="J115" s="2"/>
      <c r="K115" s="2"/>
      <c r="L115" s="2"/>
      <c r="M115" s="2"/>
      <c r="N115" s="303"/>
    </row>
    <row r="116" spans="1:14" x14ac:dyDescent="0.2">
      <c r="A116" s="2"/>
      <c r="B116" s="2"/>
      <c r="C116" s="2"/>
      <c r="D116" s="2"/>
      <c r="E116" s="2"/>
      <c r="F116" s="2"/>
      <c r="G116" s="2"/>
      <c r="H116" s="2"/>
      <c r="I116" s="2"/>
      <c r="J116" s="2"/>
      <c r="K116" s="2"/>
      <c r="L116" s="2"/>
      <c r="M116" s="2"/>
      <c r="N116" s="303"/>
    </row>
    <row r="117" spans="1:14" x14ac:dyDescent="0.2">
      <c r="A117" s="2"/>
      <c r="B117" s="2"/>
      <c r="C117" s="2"/>
      <c r="D117" s="2"/>
      <c r="E117" s="2"/>
      <c r="F117" s="2"/>
      <c r="G117" s="2"/>
      <c r="H117" s="2"/>
      <c r="I117" s="2"/>
      <c r="J117" s="2"/>
      <c r="K117" s="2"/>
      <c r="L117" s="2"/>
      <c r="M117" s="2"/>
      <c r="N117" s="303"/>
    </row>
    <row r="118" spans="1:14" x14ac:dyDescent="0.2">
      <c r="A118" s="2"/>
      <c r="B118" s="2"/>
      <c r="C118" s="2"/>
      <c r="D118" s="2"/>
      <c r="E118" s="2"/>
      <c r="F118" s="2"/>
      <c r="G118" s="2"/>
      <c r="H118" s="2"/>
      <c r="I118" s="2"/>
      <c r="J118" s="2"/>
      <c r="K118" s="2"/>
      <c r="L118" s="2"/>
      <c r="M118" s="2"/>
      <c r="N118" s="303"/>
    </row>
    <row r="119" spans="1:14" x14ac:dyDescent="0.2">
      <c r="A119" s="2"/>
      <c r="B119" s="2"/>
      <c r="C119" s="2"/>
      <c r="D119" s="2"/>
      <c r="E119" s="2"/>
      <c r="F119" s="2"/>
      <c r="G119" s="2"/>
      <c r="H119" s="2"/>
      <c r="I119" s="2"/>
      <c r="J119" s="2"/>
      <c r="K119" s="2"/>
      <c r="L119" s="2"/>
      <c r="M119" s="2"/>
      <c r="N119" s="303"/>
    </row>
    <row r="120" spans="1:14" x14ac:dyDescent="0.2">
      <c r="A120" s="2"/>
      <c r="B120" s="2"/>
      <c r="C120" s="2"/>
      <c r="D120" s="2"/>
      <c r="E120" s="2"/>
      <c r="F120" s="2"/>
      <c r="G120" s="2"/>
      <c r="H120" s="2"/>
      <c r="I120" s="2"/>
      <c r="J120" s="2"/>
      <c r="K120" s="2"/>
      <c r="L120" s="2"/>
      <c r="M120" s="2"/>
      <c r="N120" s="303"/>
    </row>
    <row r="121" spans="1:14" x14ac:dyDescent="0.2">
      <c r="A121" s="2"/>
      <c r="B121" s="2"/>
      <c r="C121" s="2"/>
      <c r="D121" s="2"/>
      <c r="E121" s="2"/>
      <c r="F121" s="2"/>
      <c r="G121" s="2"/>
      <c r="H121" s="2"/>
      <c r="I121" s="2"/>
      <c r="J121" s="2"/>
      <c r="K121" s="2"/>
      <c r="L121" s="2"/>
      <c r="M121" s="2"/>
      <c r="N121" s="303"/>
    </row>
    <row r="122" spans="1:14" ht="24" customHeight="1" x14ac:dyDescent="0.2">
      <c r="A122" s="2"/>
      <c r="B122" s="2"/>
      <c r="C122" s="2"/>
      <c r="D122" s="2"/>
      <c r="E122" s="2"/>
      <c r="F122" s="2"/>
      <c r="G122" s="2"/>
      <c r="H122" s="2"/>
      <c r="I122" s="2"/>
      <c r="J122" s="2"/>
      <c r="K122" s="2"/>
      <c r="L122" s="2"/>
      <c r="M122" s="2"/>
      <c r="N122" s="303"/>
    </row>
    <row r="123" spans="1:14" x14ac:dyDescent="0.2">
      <c r="A123" s="2"/>
      <c r="B123" s="2"/>
      <c r="C123" s="2"/>
      <c r="D123" s="2"/>
      <c r="E123" s="2"/>
      <c r="F123" s="2"/>
      <c r="G123" s="2"/>
      <c r="H123" s="2"/>
      <c r="I123" s="2"/>
      <c r="J123" s="2"/>
      <c r="K123" s="2"/>
      <c r="L123" s="2"/>
      <c r="M123" s="2"/>
      <c r="N123" s="303"/>
    </row>
    <row r="129" ht="25.5" customHeight="1" x14ac:dyDescent="0.2"/>
    <row r="174" ht="25.5" customHeight="1" x14ac:dyDescent="0.2"/>
  </sheetData>
  <mergeCells count="11">
    <mergeCell ref="N14:N15"/>
    <mergeCell ref="N34:N39"/>
    <mergeCell ref="N17:N20"/>
    <mergeCell ref="N22:N25"/>
    <mergeCell ref="G49:J49"/>
    <mergeCell ref="I50:J50"/>
    <mergeCell ref="G45:I45"/>
    <mergeCell ref="H1:I1"/>
    <mergeCell ref="J1:K1"/>
    <mergeCell ref="B1:C1"/>
    <mergeCell ref="F1:G1"/>
  </mergeCells>
  <phoneticPr fontId="0" type="noConversion"/>
  <hyperlinks>
    <hyperlink ref="N21" r:id="rId1" display="https://www3.epa.gov/ttnchie1/ap42/ch01/final/c01s04.pdf" xr:uid="{D2917E18-6818-447E-A25D-D8EE3A9855F6}"/>
    <hyperlink ref="N28" r:id="rId2" xr:uid="{D9F27295-9D58-4A2C-B493-5C465DF2FE53}"/>
    <hyperlink ref="N6" r:id="rId3" xr:uid="{D268C293-0050-43F2-AB57-E86CB922320E}"/>
    <hyperlink ref="N7" r:id="rId4" xr:uid="{4BDB2CF7-40E0-46D5-BD06-C91C3EAA11CC}"/>
    <hyperlink ref="N8" r:id="rId5" xr:uid="{26FCC777-D4A1-44AC-ABEC-E70C68B56E7F}"/>
    <hyperlink ref="N9" r:id="rId6" xr:uid="{1C535C13-B791-4BE2-8456-62BD5A53D7DC}"/>
    <hyperlink ref="N11" r:id="rId7" xr:uid="{107C7215-E53D-4C05-9096-43E6183F7B59}"/>
    <hyperlink ref="N12" r:id="rId8" xr:uid="{E23D9D06-DCDF-4706-B6F5-0694FBBC060E}"/>
    <hyperlink ref="N13" r:id="rId9" display="https://www3.epa.gov/ttnchie1/ap42/ch01/final/c01s03.pdf" xr:uid="{56943527-9502-486E-A234-D6BDB9C9DF0C}"/>
    <hyperlink ref="N14" r:id="rId10" display="https://www3.epa.gov/ttnchie1/ap42/ch03/final/c03s01.pdf" xr:uid="{41782394-8E73-4E3F-91E8-883BDBA2CF12}"/>
    <hyperlink ref="N40" r:id="rId11" xr:uid="{CAF51578-9CD5-4413-B91F-B11D4BBD0F95}"/>
    <hyperlink ref="N34" r:id="rId12" xr:uid="{E8732D02-B9EE-4A01-99C7-7AE039F68201}"/>
    <hyperlink ref="N33" r:id="rId13" xr:uid="{1334D310-3EF1-4529-A7AB-0FCA46F5293E}"/>
    <hyperlink ref="N30" r:id="rId14" xr:uid="{2015BD16-4C66-4000-8E5E-5CA21D5A2DC6}"/>
    <hyperlink ref="N17" r:id="rId15" xr:uid="{7E6173E6-CA55-4F21-8046-0D1FB0B381DD}"/>
    <hyperlink ref="N27" r:id="rId16" xr:uid="{BA5B5ED4-DC33-4F39-AC5F-5988EEAD6D1F}"/>
    <hyperlink ref="N29" r:id="rId17" display="https://nam04.safelinks.protection.outlook.com/?url=https%3A%2F%2Fwww.api.org%2F&amp;data=02%7C01%7CRoger.Chang%40erg.com%7C87f6275ddc13416a4c7008d7ba2a3276%7Ca17e3fab8d2346f287f33fceb7c6a000%7C1%7C0%7C637182562721202140&amp;sdata=7WBintfvlEcDSq7ji8JCyFvnrb19px99HiLkPbOjGr0%3D&amp;reserved=0" xr:uid="{6648B809-7A2F-445C-98B7-999532E34653}"/>
    <hyperlink ref="N31" r:id="rId18" xr:uid="{7069CA3F-8999-42D2-A0A3-36FDA379DF8C}"/>
    <hyperlink ref="N22" r:id="rId19" xr:uid="{B6ADE094-4EB5-4FCF-993E-6AD55A73EAEE}"/>
  </hyperlinks>
  <printOptions horizontalCentered="1"/>
  <pageMargins left="0.25" right="0.25" top="1" bottom="0.5" header="0.45" footer="0.5"/>
  <pageSetup scale="34" orientation="portrait" horizontalDpi="300" verticalDpi="300" r:id="rId20"/>
  <headerFooter alignWithMargins="0">
    <oddHeader>&amp;C&amp;"Helvetica,Bold"AIR EMISSIONS COMPUTATION FACTORS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R178"/>
  <sheetViews>
    <sheetView view="pageLayout" topLeftCell="F5" zoomScale="70" zoomScaleNormal="100" zoomScalePageLayoutView="70" workbookViewId="0">
      <selection activeCell="AA21" sqref="AA21"/>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ustomWidth="1"/>
    <col min="27" max="44" width="9.7109375" style="256"/>
    <col min="45" max="16384" width="9.7109375" style="2"/>
  </cols>
  <sheetData>
    <row r="1" spans="1:44" ht="12.75" customHeight="1" thickBot="1" x14ac:dyDescent="0.25">
      <c r="A1" s="23" t="s">
        <v>1</v>
      </c>
      <c r="B1" s="23" t="s">
        <v>2</v>
      </c>
      <c r="C1" s="23"/>
      <c r="D1" s="23" t="s">
        <v>3</v>
      </c>
      <c r="E1" s="23" t="s">
        <v>5</v>
      </c>
      <c r="F1" s="24" t="s">
        <v>63</v>
      </c>
      <c r="G1" s="23" t="s">
        <v>7</v>
      </c>
      <c r="H1" s="25"/>
      <c r="I1" s="26"/>
      <c r="J1" s="26"/>
      <c r="K1" s="26"/>
      <c r="L1" s="27" t="s">
        <v>81</v>
      </c>
      <c r="M1" s="28" t="s">
        <v>0</v>
      </c>
      <c r="N1" s="26" t="s">
        <v>42</v>
      </c>
      <c r="O1" s="29"/>
      <c r="P1" s="29" t="s">
        <v>11</v>
      </c>
      <c r="Q1" s="29"/>
      <c r="R1" s="30"/>
      <c r="S1" s="30"/>
      <c r="T1" s="30"/>
      <c r="U1" s="30"/>
      <c r="V1" s="30"/>
      <c r="W1" s="30"/>
      <c r="X1" s="30"/>
      <c r="Y1" s="30"/>
      <c r="Z1" s="101"/>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373"/>
      <c r="K2" s="373"/>
      <c r="L2" s="473" t="str">
        <f>TITLE!$C$7</f>
        <v xml:space="preserve">  </v>
      </c>
      <c r="M2" s="476"/>
      <c r="N2" s="473" t="str">
        <f>TITLE!$C$8</f>
        <v xml:space="preserve"> </v>
      </c>
      <c r="O2" s="476"/>
      <c r="P2" s="473" t="str">
        <f>TITLE!C9</f>
        <v xml:space="preserve"> </v>
      </c>
      <c r="Q2" s="474"/>
      <c r="R2" s="474"/>
      <c r="S2" s="474"/>
      <c r="T2" s="474"/>
      <c r="U2" s="474"/>
      <c r="V2" s="474"/>
      <c r="W2" s="474"/>
      <c r="X2" s="474"/>
      <c r="Y2" s="474"/>
      <c r="Z2" s="475"/>
    </row>
    <row r="3" spans="1:44" ht="12.75" customHeight="1" thickTop="1" x14ac:dyDescent="0.2">
      <c r="A3" s="33" t="s">
        <v>43</v>
      </c>
      <c r="B3" s="34" t="s">
        <v>44</v>
      </c>
      <c r="C3" s="34" t="s">
        <v>101</v>
      </c>
      <c r="D3" s="34" t="s">
        <v>45</v>
      </c>
      <c r="E3" s="34" t="s">
        <v>46</v>
      </c>
      <c r="F3" s="35" t="s">
        <v>47</v>
      </c>
      <c r="G3" s="36" t="s">
        <v>48</v>
      </c>
      <c r="H3" s="37"/>
      <c r="I3" s="38"/>
      <c r="J3" s="38"/>
      <c r="K3" s="38"/>
      <c r="L3" s="38"/>
      <c r="M3" s="38" t="s">
        <v>49</v>
      </c>
      <c r="N3" s="38"/>
      <c r="O3" s="38"/>
      <c r="P3" s="38"/>
      <c r="Q3" s="39"/>
      <c r="R3" s="40"/>
      <c r="S3" s="40"/>
      <c r="T3" s="40"/>
      <c r="U3" s="40"/>
      <c r="V3" s="38" t="s">
        <v>50</v>
      </c>
      <c r="W3" s="40"/>
      <c r="X3" s="40"/>
      <c r="Y3" s="40"/>
      <c r="Z3" s="100"/>
    </row>
    <row r="4" spans="1:44" ht="12.75" customHeight="1" x14ac:dyDescent="0.2">
      <c r="A4" s="41"/>
      <c r="B4" s="42" t="s">
        <v>51</v>
      </c>
      <c r="C4" s="42"/>
      <c r="D4" s="42" t="s">
        <v>52</v>
      </c>
      <c r="E4" s="42" t="s">
        <v>53</v>
      </c>
      <c r="F4" s="43" t="s">
        <v>54</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77" t="s">
        <v>55</v>
      </c>
      <c r="C5" s="277"/>
      <c r="D5" s="50" t="s">
        <v>52</v>
      </c>
      <c r="E5" s="50" t="s">
        <v>56</v>
      </c>
      <c r="F5" s="51" t="s">
        <v>57</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78" t="s">
        <v>58</v>
      </c>
      <c r="C6" s="278"/>
      <c r="D6" s="168" t="s">
        <v>59</v>
      </c>
      <c r="E6" s="42" t="s">
        <v>56</v>
      </c>
      <c r="F6" s="43" t="s">
        <v>57</v>
      </c>
      <c r="G6" s="169" t="s">
        <v>60</v>
      </c>
      <c r="H6" s="170" t="s">
        <v>71</v>
      </c>
      <c r="I6" s="396" t="s">
        <v>199</v>
      </c>
      <c r="J6" s="397" t="s">
        <v>197</v>
      </c>
      <c r="K6" s="398" t="s">
        <v>198</v>
      </c>
      <c r="L6" s="399" t="s">
        <v>23</v>
      </c>
      <c r="M6" s="399" t="s">
        <v>24</v>
      </c>
      <c r="N6" s="399" t="s">
        <v>25</v>
      </c>
      <c r="O6" s="397" t="s">
        <v>72</v>
      </c>
      <c r="P6" s="397" t="s">
        <v>26</v>
      </c>
      <c r="Q6" s="400" t="s">
        <v>80</v>
      </c>
      <c r="R6" s="401" t="s">
        <v>199</v>
      </c>
      <c r="S6" s="402" t="s">
        <v>197</v>
      </c>
      <c r="T6" s="403" t="s">
        <v>198</v>
      </c>
      <c r="U6" s="403" t="s">
        <v>23</v>
      </c>
      <c r="V6" s="171" t="s">
        <v>24</v>
      </c>
      <c r="W6" s="171" t="s">
        <v>25</v>
      </c>
      <c r="X6" s="46" t="s">
        <v>72</v>
      </c>
      <c r="Y6" s="46" t="s">
        <v>26</v>
      </c>
      <c r="Z6" s="172" t="s">
        <v>80</v>
      </c>
    </row>
    <row r="7" spans="1:44" s="173" customFormat="1" ht="12.75" customHeight="1" thickTop="1" x14ac:dyDescent="0.2">
      <c r="A7" s="194" t="s">
        <v>61</v>
      </c>
      <c r="B7" s="279" t="s">
        <v>165</v>
      </c>
      <c r="C7" s="293"/>
      <c r="D7" s="195">
        <v>0</v>
      </c>
      <c r="E7" s="196">
        <f>FACTORS!$I$2*D7</f>
        <v>0</v>
      </c>
      <c r="F7" s="197">
        <f>E7*24</f>
        <v>0</v>
      </c>
      <c r="G7" s="198">
        <v>0</v>
      </c>
      <c r="H7" s="199">
        <v>0</v>
      </c>
      <c r="I7" s="377">
        <f>FACTORS!$C$17*D7/453.592</f>
        <v>0</v>
      </c>
      <c r="J7" s="404">
        <f>FACTORS!$D$17*D7/453.592</f>
        <v>0</v>
      </c>
      <c r="K7" s="405">
        <f>FACTORS!$E$17*D7/453.592</f>
        <v>0</v>
      </c>
      <c r="L7" s="202">
        <f>FACTORS!$F$17*D7/453.592</f>
        <v>0</v>
      </c>
      <c r="M7" s="202">
        <f>FACTORS!$G$17*D7/453.592</f>
        <v>0</v>
      </c>
      <c r="N7" s="201">
        <f>FACTORS!$H$17*D7/453.592</f>
        <v>0</v>
      </c>
      <c r="O7" s="203">
        <f>FACTORS!$I$17*D7/453.592</f>
        <v>0</v>
      </c>
      <c r="P7" s="203">
        <f>FACTORS!$J$17*D7/453.592</f>
        <v>0</v>
      </c>
      <c r="Q7" s="204">
        <f>IFERROR(FACTORS!$K$17*D7/453.592,"--")</f>
        <v>0</v>
      </c>
      <c r="R7" s="381">
        <f>IF(I7=0,0,I7*($F7/($E7*24))*$G7*$H7/2000)</f>
        <v>0</v>
      </c>
      <c r="S7" s="203">
        <f t="shared" ref="S7:T10" si="0">IF(J7=0,0,J7*($F7/($E7*24))*$G7*$H7/2000)</f>
        <v>0</v>
      </c>
      <c r="T7" s="203">
        <f>IF(K7=0,0,K7*($F7/($E7*24))*$G7*$H7/2000)</f>
        <v>0</v>
      </c>
      <c r="U7" s="203">
        <f t="shared" ref="U7:W10" si="1">IF(L7=0,0,L7*($F7/($E7*24))*$G7*$H7/2000)</f>
        <v>0</v>
      </c>
      <c r="V7" s="203">
        <f t="shared" si="1"/>
        <v>0</v>
      </c>
      <c r="W7" s="203">
        <f t="shared" si="1"/>
        <v>0</v>
      </c>
      <c r="X7" s="203">
        <f>IFERROR(IF(O7=0,0,O7*($F7/($E7*24))*$G7*$H7/2000),"--")</f>
        <v>0</v>
      </c>
      <c r="Y7" s="203">
        <f>IF(P7=0,0,P7*($F7/($E7*24))*$G7*$H7/2000)</f>
        <v>0</v>
      </c>
      <c r="Z7" s="205">
        <f>IFERROR(IF(Q7=0,0,Q7*($F7/($E7*24))*$G7*$H7/2000),"--")</f>
        <v>0</v>
      </c>
      <c r="AA7" s="262"/>
      <c r="AB7" s="262"/>
      <c r="AC7" s="262"/>
      <c r="AD7" s="262"/>
      <c r="AE7" s="262"/>
      <c r="AF7" s="262"/>
      <c r="AG7" s="262"/>
      <c r="AH7" s="262"/>
      <c r="AI7" s="262"/>
      <c r="AJ7" s="262"/>
      <c r="AK7" s="262"/>
      <c r="AL7" s="262"/>
      <c r="AM7" s="262"/>
      <c r="AN7" s="262"/>
      <c r="AO7" s="262"/>
      <c r="AP7" s="262"/>
      <c r="AQ7" s="262"/>
      <c r="AR7" s="262"/>
    </row>
    <row r="8" spans="1:44" s="183" customFormat="1" ht="12.75" customHeight="1" x14ac:dyDescent="0.2">
      <c r="A8" s="206"/>
      <c r="B8" s="238" t="s">
        <v>165</v>
      </c>
      <c r="C8" s="294"/>
      <c r="D8" s="208">
        <v>0</v>
      </c>
      <c r="E8" s="209">
        <f>FACTORS!$I$2*D8</f>
        <v>0</v>
      </c>
      <c r="F8" s="201">
        <f>E8*24</f>
        <v>0</v>
      </c>
      <c r="G8" s="210">
        <v>0</v>
      </c>
      <c r="H8" s="211">
        <v>0</v>
      </c>
      <c r="I8" s="222">
        <f>FACTORS!$C$17*D8/453.592</f>
        <v>0</v>
      </c>
      <c r="J8" s="404">
        <f>FACTORS!$D$17*D8/453.592</f>
        <v>0</v>
      </c>
      <c r="K8" s="405">
        <f>FACTORS!$E$17*D8/453.592</f>
        <v>0</v>
      </c>
      <c r="L8" s="202">
        <f>FACTORS!$F$17*D8/453.592</f>
        <v>0</v>
      </c>
      <c r="M8" s="202">
        <f>FACTORS!$G$17*D8/453.592</f>
        <v>0</v>
      </c>
      <c r="N8" s="201">
        <f>FACTORS!$H$17*D8/453.592</f>
        <v>0</v>
      </c>
      <c r="O8" s="202">
        <f>FACTORS!$I$17*D8/453.592</f>
        <v>0</v>
      </c>
      <c r="P8" s="202">
        <f>FACTORS!$J$17*D8/453.592</f>
        <v>0</v>
      </c>
      <c r="Q8" s="204">
        <f>IFERROR(FACTORS!$K$17*D8/453.592,"--")</f>
        <v>0</v>
      </c>
      <c r="R8" s="200">
        <f>IF(I8=0,0,I8*($F8/($E8*24))*$G8*$H8/2000)</f>
        <v>0</v>
      </c>
      <c r="S8" s="202">
        <f t="shared" si="0"/>
        <v>0</v>
      </c>
      <c r="T8" s="202">
        <f t="shared" si="0"/>
        <v>0</v>
      </c>
      <c r="U8" s="202">
        <f t="shared" si="1"/>
        <v>0</v>
      </c>
      <c r="V8" s="202">
        <f t="shared" si="1"/>
        <v>0</v>
      </c>
      <c r="W8" s="202">
        <f t="shared" si="1"/>
        <v>0</v>
      </c>
      <c r="X8" s="202">
        <f>IFERROR(IF(O8=0,0,O8*($F8/($E8*24))*$G8*$H8/2000),"--")</f>
        <v>0</v>
      </c>
      <c r="Y8" s="202">
        <f>IF(P8=0,0,P8*($F8/($E8*24))*$G8*$H8/2000)</f>
        <v>0</v>
      </c>
      <c r="Z8" s="213">
        <f>IFERROR(IF(Q8=0,0,Q8*($F8/($E8*24))*$G8*$H8/2000),"--")</f>
        <v>0</v>
      </c>
      <c r="AA8" s="256"/>
      <c r="AB8" s="256"/>
      <c r="AC8" s="256"/>
      <c r="AD8" s="256"/>
      <c r="AE8" s="256"/>
      <c r="AF8" s="256"/>
      <c r="AG8" s="256"/>
      <c r="AH8" s="256"/>
      <c r="AI8" s="256"/>
      <c r="AJ8" s="256"/>
      <c r="AK8" s="256"/>
      <c r="AL8" s="256"/>
      <c r="AM8" s="256"/>
      <c r="AN8" s="256"/>
      <c r="AO8" s="256"/>
      <c r="AP8" s="256"/>
      <c r="AQ8" s="256"/>
      <c r="AR8" s="256"/>
    </row>
    <row r="9" spans="1:44" s="183" customFormat="1" ht="12.75" customHeight="1" x14ac:dyDescent="0.2">
      <c r="A9" s="206"/>
      <c r="B9" s="238" t="s">
        <v>165</v>
      </c>
      <c r="C9" s="294"/>
      <c r="D9" s="208">
        <v>0</v>
      </c>
      <c r="E9" s="209">
        <f>FACTORS!$I$2*D9</f>
        <v>0</v>
      </c>
      <c r="F9" s="201">
        <f>E9*24</f>
        <v>0</v>
      </c>
      <c r="G9" s="210">
        <v>0</v>
      </c>
      <c r="H9" s="211">
        <v>0</v>
      </c>
      <c r="I9" s="222">
        <f>FACTORS!$C$17*D9/453.592</f>
        <v>0</v>
      </c>
      <c r="J9" s="404">
        <f>FACTORS!$D$17*D9/453.592</f>
        <v>0</v>
      </c>
      <c r="K9" s="405">
        <f>FACTORS!$E$17*D9/453.592</f>
        <v>0</v>
      </c>
      <c r="L9" s="202">
        <f>FACTORS!$F$17*D9/453.592</f>
        <v>0</v>
      </c>
      <c r="M9" s="202">
        <f>FACTORS!$G$17*D9/453.592</f>
        <v>0</v>
      </c>
      <c r="N9" s="201">
        <f>FACTORS!$H$17*D9/453.592</f>
        <v>0</v>
      </c>
      <c r="O9" s="202">
        <f>FACTORS!$I$17*D9/453.592</f>
        <v>0</v>
      </c>
      <c r="P9" s="202">
        <f>FACTORS!$J$17*D9/453.592</f>
        <v>0</v>
      </c>
      <c r="Q9" s="204">
        <f>IFERROR(FACTORS!$K$17*D9/453.592,"--")</f>
        <v>0</v>
      </c>
      <c r="R9" s="200">
        <f>IF(I9=0,0,I9*($F9/($E9*24))*$G9*$H9/2000)</f>
        <v>0</v>
      </c>
      <c r="S9" s="202">
        <f t="shared" si="0"/>
        <v>0</v>
      </c>
      <c r="T9" s="202">
        <f t="shared" si="0"/>
        <v>0</v>
      </c>
      <c r="U9" s="202">
        <f t="shared" si="1"/>
        <v>0</v>
      </c>
      <c r="V9" s="202">
        <f t="shared" si="1"/>
        <v>0</v>
      </c>
      <c r="W9" s="202">
        <f t="shared" si="1"/>
        <v>0</v>
      </c>
      <c r="X9" s="202">
        <f>IFERROR(IF(O9=0,0,O9*($F9/($E9*24))*$G9*$H9/2000),"--")</f>
        <v>0</v>
      </c>
      <c r="Y9" s="202">
        <f>IF(P9=0,0,P9*($F9/($E9*24))*$G9*$H9/2000)</f>
        <v>0</v>
      </c>
      <c r="Z9" s="213">
        <f>IFERROR(IF(Q9=0,0,Q9*($F9/($E9*24))*$G9*$H9/2000),"--")</f>
        <v>0</v>
      </c>
      <c r="AA9" s="256"/>
      <c r="AB9" s="256"/>
      <c r="AC9" s="256"/>
      <c r="AD9" s="256"/>
      <c r="AE9" s="256"/>
      <c r="AF9" s="256"/>
      <c r="AG9" s="256"/>
      <c r="AH9" s="256"/>
      <c r="AI9" s="256"/>
      <c r="AJ9" s="256"/>
      <c r="AK9" s="256"/>
      <c r="AL9" s="256"/>
      <c r="AM9" s="256"/>
      <c r="AN9" s="256"/>
      <c r="AO9" s="256"/>
      <c r="AP9" s="256"/>
      <c r="AQ9" s="256"/>
      <c r="AR9" s="256"/>
    </row>
    <row r="10" spans="1:44" s="183" customFormat="1" ht="12.75" customHeight="1" x14ac:dyDescent="0.2">
      <c r="A10" s="206"/>
      <c r="B10" s="238" t="s">
        <v>165</v>
      </c>
      <c r="C10" s="294"/>
      <c r="D10" s="208">
        <v>0</v>
      </c>
      <c r="E10" s="209">
        <f>FACTORS!$I$2*D10</f>
        <v>0</v>
      </c>
      <c r="F10" s="201">
        <f>E10*24</f>
        <v>0</v>
      </c>
      <c r="G10" s="210">
        <v>0</v>
      </c>
      <c r="H10" s="211">
        <v>0</v>
      </c>
      <c r="I10" s="222">
        <f>FACTORS!$C$17*D10/453.592</f>
        <v>0</v>
      </c>
      <c r="J10" s="404">
        <f>FACTORS!$D$17*D10/453.592</f>
        <v>0</v>
      </c>
      <c r="K10" s="405">
        <f>FACTORS!$E$17*D10/453.592</f>
        <v>0</v>
      </c>
      <c r="L10" s="202">
        <f>FACTORS!$F$17*D10/453.592</f>
        <v>0</v>
      </c>
      <c r="M10" s="202">
        <f>FACTORS!$G$17*D10/453.592</f>
        <v>0</v>
      </c>
      <c r="N10" s="201">
        <f>FACTORS!$H$17*D10/453.592</f>
        <v>0</v>
      </c>
      <c r="O10" s="202">
        <f>FACTORS!$I$17*D10/453.592</f>
        <v>0</v>
      </c>
      <c r="P10" s="202">
        <f>FACTORS!$J$17*D10/453.592</f>
        <v>0</v>
      </c>
      <c r="Q10" s="204">
        <f>IFERROR(FACTORS!$K$17*D10/453.592,"--")</f>
        <v>0</v>
      </c>
      <c r="R10" s="200">
        <f>IF(I10=0,0,I10*($F10/($E10*24))*$G10*$H10/2000)</f>
        <v>0</v>
      </c>
      <c r="S10" s="202">
        <f>IF(J10=0,0,J10*($F10/($E10*24))*$G10*$H10/2000)</f>
        <v>0</v>
      </c>
      <c r="T10" s="202">
        <f t="shared" si="0"/>
        <v>0</v>
      </c>
      <c r="U10" s="202">
        <f t="shared" si="1"/>
        <v>0</v>
      </c>
      <c r="V10" s="202">
        <f t="shared" si="1"/>
        <v>0</v>
      </c>
      <c r="W10" s="202">
        <f t="shared" si="1"/>
        <v>0</v>
      </c>
      <c r="X10" s="202">
        <f>IFERROR(IF(O10=0,0,O10*($F10/($E10*24))*$G10*$H10/2000),"--")</f>
        <v>0</v>
      </c>
      <c r="Y10" s="202">
        <f>IF(P10=0,0,P10*($F10/($E10*24))*$G10*$H10/2000)</f>
        <v>0</v>
      </c>
      <c r="Z10" s="213">
        <f>IFERROR(IF(Q10=0,0,Q10*($F10/($E10*24))*$G10*$H10/2000),"--")</f>
        <v>0</v>
      </c>
      <c r="AA10" s="256"/>
      <c r="AB10" s="256"/>
      <c r="AC10" s="256"/>
      <c r="AD10" s="256"/>
      <c r="AE10" s="256"/>
      <c r="AF10" s="256"/>
      <c r="AG10" s="256"/>
      <c r="AH10" s="256"/>
      <c r="AI10" s="256"/>
      <c r="AJ10" s="256"/>
      <c r="AK10" s="256"/>
      <c r="AL10" s="256"/>
      <c r="AM10" s="256"/>
      <c r="AN10" s="256"/>
      <c r="AO10" s="256"/>
      <c r="AP10" s="256"/>
      <c r="AQ10" s="256"/>
      <c r="AR10" s="256"/>
    </row>
    <row r="11" spans="1:44" s="183" customFormat="1" x14ac:dyDescent="0.2">
      <c r="A11" s="206"/>
      <c r="B11" s="207" t="s">
        <v>194</v>
      </c>
      <c r="C11" s="207"/>
      <c r="D11" s="208">
        <v>0</v>
      </c>
      <c r="E11" s="214"/>
      <c r="F11" s="215"/>
      <c r="G11" s="208">
        <v>0</v>
      </c>
      <c r="H11" s="211">
        <v>0</v>
      </c>
      <c r="I11" s="222">
        <f>FACTORS!$C$19*D11/453.592</f>
        <v>0</v>
      </c>
      <c r="J11" s="404">
        <f>FACTORS!$D$19*D11/453.592</f>
        <v>0</v>
      </c>
      <c r="K11" s="405">
        <f>FACTORS!$E$19*D11/453.592</f>
        <v>0</v>
      </c>
      <c r="L11" s="202">
        <f>FACTORS!$F$19*D11/453.592</f>
        <v>0</v>
      </c>
      <c r="M11" s="202">
        <f>FACTORS!$G$19*D11/453.592</f>
        <v>0</v>
      </c>
      <c r="N11" s="201">
        <f>FACTORS!$H$19*D11/453.592</f>
        <v>0</v>
      </c>
      <c r="O11" s="202">
        <f>FACTORS!$I$19*D11/453.592</f>
        <v>0</v>
      </c>
      <c r="P11" s="202">
        <f>FACTORS!$J$19*D11/453.592</f>
        <v>0</v>
      </c>
      <c r="Q11" s="204">
        <f>FACTORS!$K$19*D11/453.592</f>
        <v>0</v>
      </c>
      <c r="R11" s="200">
        <f>I11*$G11*$H11/2000</f>
        <v>0</v>
      </c>
      <c r="S11" s="408">
        <f>J11*$G11*$H11/2000</f>
        <v>0</v>
      </c>
      <c r="T11" s="408">
        <f>K11*$G11*$H11/2000</f>
        <v>0</v>
      </c>
      <c r="U11" s="202">
        <f t="shared" ref="U11:Z11" si="2">L11*$G11*$H11/2000</f>
        <v>0</v>
      </c>
      <c r="V11" s="202">
        <f t="shared" si="2"/>
        <v>0</v>
      </c>
      <c r="W11" s="202">
        <f t="shared" si="2"/>
        <v>0</v>
      </c>
      <c r="X11" s="202">
        <f t="shared" si="2"/>
        <v>0</v>
      </c>
      <c r="Y11" s="202">
        <f t="shared" si="2"/>
        <v>0</v>
      </c>
      <c r="Z11" s="213">
        <f t="shared" si="2"/>
        <v>0</v>
      </c>
      <c r="AA11" s="256"/>
      <c r="AB11" s="256"/>
      <c r="AC11" s="256"/>
      <c r="AD11" s="256"/>
      <c r="AE11" s="256"/>
      <c r="AF11" s="256"/>
      <c r="AG11" s="256"/>
      <c r="AH11" s="256"/>
      <c r="AI11" s="256"/>
      <c r="AJ11" s="256"/>
      <c r="AK11" s="256"/>
      <c r="AL11" s="256"/>
      <c r="AM11" s="256"/>
      <c r="AN11" s="256"/>
      <c r="AO11" s="256"/>
      <c r="AP11" s="256"/>
      <c r="AQ11" s="256"/>
      <c r="AR11" s="256"/>
    </row>
    <row r="12" spans="1:44" s="183" customFormat="1" x14ac:dyDescent="0.2">
      <c r="A12" s="206"/>
      <c r="B12" s="207" t="s">
        <v>200</v>
      </c>
      <c r="C12" s="207"/>
      <c r="D12" s="208">
        <v>0</v>
      </c>
      <c r="E12" s="209">
        <f>FACTORS!$I$2*D12</f>
        <v>0</v>
      </c>
      <c r="F12" s="201">
        <f>E12*24</f>
        <v>0</v>
      </c>
      <c r="G12" s="210">
        <v>0</v>
      </c>
      <c r="H12" s="211">
        <v>0</v>
      </c>
      <c r="I12" s="406">
        <f>FACTORS!$C$18*D12/453.592</f>
        <v>0</v>
      </c>
      <c r="J12" s="404">
        <f>FACTORS!$D$18*D12/453.592</f>
        <v>0</v>
      </c>
      <c r="K12" s="405">
        <f>FACTORS!$E$18*D12/453.592</f>
        <v>0</v>
      </c>
      <c r="L12" s="202">
        <f>FACTORS!$F$18*D12/453.592</f>
        <v>0</v>
      </c>
      <c r="M12" s="202">
        <f>FACTORS!$G$18*D12/453.592</f>
        <v>0</v>
      </c>
      <c r="N12" s="201">
        <f>FACTORS!$H$18*D12/453.592</f>
        <v>0</v>
      </c>
      <c r="O12" s="202">
        <f>FACTORS!$I$18*D12/453.592</f>
        <v>0</v>
      </c>
      <c r="P12" s="202">
        <f>FACTORS!$J$18*D12/453.592</f>
        <v>0</v>
      </c>
      <c r="Q12" s="204">
        <f>FACTORS!$K$18*D12/453.592</f>
        <v>0</v>
      </c>
      <c r="R12" s="200">
        <f>IF(I12=0,0,I12*($F12/($E12*24))*$G12*$H12/2000)</f>
        <v>0</v>
      </c>
      <c r="S12" s="202">
        <f t="shared" ref="S12:T12" si="3">IF(J12=0,0,J12*($F12/($E12*24))*$G12*$H12/2000)</f>
        <v>0</v>
      </c>
      <c r="T12" s="202">
        <f t="shared" si="3"/>
        <v>0</v>
      </c>
      <c r="U12" s="202">
        <f t="shared" ref="U12" si="4">IF(L12=0,0,L12*($F12/($E12*24))*$G12*$H12/2000)</f>
        <v>0</v>
      </c>
      <c r="V12" s="202">
        <f t="shared" ref="V12" si="5">IF(M12=0,0,M12*($F12/($E12*24))*$G12*$H12/2000)</f>
        <v>0</v>
      </c>
      <c r="W12" s="202">
        <f t="shared" ref="W12" si="6">IF(N12=0,0,N12*($F12/($E12*24))*$G12*$H12/2000)</f>
        <v>0</v>
      </c>
      <c r="X12" s="202">
        <f>IFERROR(IF(O12=0,0,O12*($F12/($E12*24))*$G12*$H12/2000),"--")</f>
        <v>0</v>
      </c>
      <c r="Y12" s="202">
        <f t="shared" ref="Y12" si="7">IF(P12=0,0,P12*($F12/($E12*24))*$G12*$H12/2000)</f>
        <v>0</v>
      </c>
      <c r="Z12" s="213">
        <f>IFERROR(IF(Q12=0,0,Q12*($F12/($E12*24))*$G12*$H12/2000),"--")</f>
        <v>0</v>
      </c>
      <c r="AA12" s="256"/>
      <c r="AB12" s="256"/>
      <c r="AC12" s="256"/>
      <c r="AD12" s="256"/>
      <c r="AE12" s="256"/>
      <c r="AF12" s="256"/>
      <c r="AG12" s="256"/>
      <c r="AH12" s="256"/>
      <c r="AI12" s="256"/>
      <c r="AJ12" s="256"/>
      <c r="AK12" s="256"/>
      <c r="AL12" s="256"/>
      <c r="AM12" s="256"/>
      <c r="AN12" s="256"/>
      <c r="AO12" s="256"/>
      <c r="AP12" s="256"/>
      <c r="AQ12" s="256"/>
      <c r="AR12" s="256"/>
    </row>
    <row r="13" spans="1:44" ht="12.75" customHeight="1" x14ac:dyDescent="0.2">
      <c r="A13" s="61"/>
      <c r="B13" s="62"/>
      <c r="C13" s="62"/>
      <c r="D13" s="63"/>
      <c r="E13" s="64" t="s">
        <v>0</v>
      </c>
      <c r="F13" s="65"/>
      <c r="G13" s="66"/>
      <c r="H13" s="67"/>
      <c r="I13" s="59" t="s">
        <v>0</v>
      </c>
      <c r="J13" s="60"/>
      <c r="K13" s="374"/>
      <c r="L13" s="60" t="s">
        <v>0</v>
      </c>
      <c r="M13" s="60"/>
      <c r="N13" s="58"/>
      <c r="O13" s="60"/>
      <c r="P13" s="60"/>
      <c r="Q13" s="151"/>
      <c r="R13" s="75"/>
      <c r="S13" s="60"/>
      <c r="T13" s="60"/>
      <c r="U13" s="60"/>
      <c r="V13" s="60"/>
      <c r="W13" s="60"/>
      <c r="X13" s="68"/>
      <c r="Y13" s="68"/>
      <c r="Z13" s="69"/>
    </row>
    <row r="14" spans="1:44" s="183" customFormat="1" ht="12.75" customHeight="1" x14ac:dyDescent="0.2">
      <c r="A14" s="206" t="s">
        <v>183</v>
      </c>
      <c r="B14" s="207" t="s">
        <v>121</v>
      </c>
      <c r="C14" s="207"/>
      <c r="D14" s="208">
        <v>0</v>
      </c>
      <c r="E14" s="216">
        <f>FACTORS!$I$2*D14</f>
        <v>0</v>
      </c>
      <c r="F14" s="201">
        <f>E14*24</f>
        <v>0</v>
      </c>
      <c r="G14" s="210">
        <v>0</v>
      </c>
      <c r="H14" s="211">
        <v>0</v>
      </c>
      <c r="I14" s="236">
        <f>FACTORS!$C$17*D14/453.592</f>
        <v>0</v>
      </c>
      <c r="J14" s="407">
        <f>FACTORS!$D$17*D14/453.592</f>
        <v>0</v>
      </c>
      <c r="K14" s="409">
        <f>FACTORS!$E$17*D14/453.592</f>
        <v>0</v>
      </c>
      <c r="L14" s="219">
        <f>FACTORS!$F$17*D14/453.592</f>
        <v>0</v>
      </c>
      <c r="M14" s="219">
        <f>FACTORS!$G$17*D14/453.592</f>
        <v>0</v>
      </c>
      <c r="N14" s="218">
        <f>FACTORS!$H$17*D14/453.592</f>
        <v>0</v>
      </c>
      <c r="O14" s="219">
        <f>FACTORS!$I$17*D14/453.592</f>
        <v>0</v>
      </c>
      <c r="P14" s="219">
        <f>FACTORS!$J$17*D14/453.592</f>
        <v>0</v>
      </c>
      <c r="Q14" s="220">
        <f>FACTORS!$K$17*D14/453.592</f>
        <v>0</v>
      </c>
      <c r="R14" s="217">
        <f>IF(I14=0,0,I14*($F14/($E14*24))*$G14*$H14/2000)</f>
        <v>0</v>
      </c>
      <c r="S14" s="219">
        <f t="shared" ref="S14:T14" si="8">IF(J14=0,0,J14*($F14/($E14*24))*$G14*$H14/2000)</f>
        <v>0</v>
      </c>
      <c r="T14" s="219">
        <f t="shared" si="8"/>
        <v>0</v>
      </c>
      <c r="U14" s="219">
        <f t="shared" ref="U14" si="9">IF(L14=0,0,L14*($F14/($E14*24))*$G14*$H14/2000)</f>
        <v>0</v>
      </c>
      <c r="V14" s="219">
        <f t="shared" ref="V14" si="10">IF(M14=0,0,M14*($F14/($E14*24))*$G14*$H14/2000)</f>
        <v>0</v>
      </c>
      <c r="W14" s="219">
        <f t="shared" ref="W14" si="11">IF(N14=0,0,N14*($F14/($E14*24))*$G14*$H14/2000)</f>
        <v>0</v>
      </c>
      <c r="X14" s="219">
        <f>IFERROR(IF(O14=0,0,O14*($F14/($E14*24))*$G14*$H14/2000),"--")</f>
        <v>0</v>
      </c>
      <c r="Y14" s="219">
        <f t="shared" ref="Y14" si="12">IF(P14=0,0,P14*($F14/($E14*24))*$G14*$H14/2000)</f>
        <v>0</v>
      </c>
      <c r="Z14" s="221">
        <f>IFERROR(IF(Q14=0,0,Q14*($F14/($E14*24))*$G14*$H14/2000),"--")</f>
        <v>0</v>
      </c>
      <c r="AA14" s="256"/>
      <c r="AB14" s="256"/>
      <c r="AC14" s="256"/>
      <c r="AD14" s="256"/>
      <c r="AE14" s="256"/>
      <c r="AF14" s="256"/>
      <c r="AG14" s="256"/>
      <c r="AH14" s="256"/>
      <c r="AI14" s="256"/>
      <c r="AJ14" s="256"/>
      <c r="AK14" s="256"/>
      <c r="AL14" s="256"/>
      <c r="AM14" s="256"/>
      <c r="AN14" s="256"/>
      <c r="AO14" s="256"/>
      <c r="AP14" s="256"/>
      <c r="AQ14" s="256"/>
      <c r="AR14" s="256"/>
    </row>
    <row r="15" spans="1:44" ht="12.75" customHeight="1" x14ac:dyDescent="0.2">
      <c r="A15" s="61"/>
      <c r="B15" s="62"/>
      <c r="C15" s="62"/>
      <c r="D15" s="450" t="s">
        <v>205</v>
      </c>
      <c r="E15" s="64" t="s">
        <v>0</v>
      </c>
      <c r="F15" s="65"/>
      <c r="G15" s="66"/>
      <c r="H15" s="67"/>
      <c r="I15" s="59" t="s">
        <v>0</v>
      </c>
      <c r="J15" s="414" t="s">
        <v>0</v>
      </c>
      <c r="K15" s="415" t="s">
        <v>0</v>
      </c>
      <c r="L15" s="60" t="s">
        <v>0</v>
      </c>
      <c r="M15" s="60"/>
      <c r="N15" s="58"/>
      <c r="O15" s="60"/>
      <c r="P15" s="60"/>
      <c r="Q15" s="151"/>
      <c r="R15" s="75"/>
      <c r="S15" s="60"/>
      <c r="T15" s="60"/>
      <c r="U15" s="60"/>
      <c r="V15" s="60"/>
      <c r="W15" s="60"/>
      <c r="X15" s="68"/>
      <c r="Y15" s="68"/>
      <c r="Z15" s="69"/>
    </row>
    <row r="16" spans="1:44" ht="12.75" customHeight="1" x14ac:dyDescent="0.2">
      <c r="A16" s="230" t="s">
        <v>61</v>
      </c>
      <c r="B16" s="231" t="s">
        <v>31</v>
      </c>
      <c r="C16" s="232"/>
      <c r="D16" s="233">
        <v>0</v>
      </c>
      <c r="E16" s="227"/>
      <c r="F16" s="228"/>
      <c r="G16" s="234">
        <v>0</v>
      </c>
      <c r="H16" s="235">
        <v>0</v>
      </c>
      <c r="I16" s="236">
        <f>FACTORS!$C$27*D16/24</f>
        <v>0</v>
      </c>
      <c r="J16" s="407">
        <f>FACTORS!$D$27*D16/24</f>
        <v>0</v>
      </c>
      <c r="K16" s="409">
        <f>FACTORS!$E$27*D16/24</f>
        <v>0</v>
      </c>
      <c r="L16" s="219">
        <f>FACTORS!$F$27*D16/24</f>
        <v>0</v>
      </c>
      <c r="M16" s="219">
        <f>FACTORS!$G$27*D16/24</f>
        <v>0</v>
      </c>
      <c r="N16" s="218">
        <f>FACTORS!$H$27*D16/24</f>
        <v>0</v>
      </c>
      <c r="O16" s="218">
        <f>FACTORS!$I$27*D16/24</f>
        <v>0</v>
      </c>
      <c r="P16" s="219">
        <f>FACTORS!$J$27*D16/24</f>
        <v>0</v>
      </c>
      <c r="Q16" s="219">
        <f>FACTORS!$K$27*D16/24</f>
        <v>0</v>
      </c>
      <c r="R16" s="236">
        <f>IFERROR(I16*$G16*$H16/2000, "--")</f>
        <v>0</v>
      </c>
      <c r="S16" s="408">
        <f>IFERROR(J16*$G16*$H16/2000, "--")</f>
        <v>0</v>
      </c>
      <c r="T16" s="409">
        <f>IFERROR(K16*$G16*$H16/2000, "--")</f>
        <v>0</v>
      </c>
      <c r="U16" s="219">
        <f>IFERROR(L16*$G16*$H16/2000, "--")</f>
        <v>0</v>
      </c>
      <c r="V16" s="219">
        <f t="shared" ref="V16:Z16" si="13">IFERROR(M16*$G16*$H16/2000, "--")</f>
        <v>0</v>
      </c>
      <c r="W16" s="219">
        <f t="shared" si="13"/>
        <v>0</v>
      </c>
      <c r="X16" s="219">
        <f t="shared" si="13"/>
        <v>0</v>
      </c>
      <c r="Y16" s="218">
        <f t="shared" si="13"/>
        <v>0</v>
      </c>
      <c r="Z16" s="221">
        <f t="shared" si="13"/>
        <v>0</v>
      </c>
    </row>
    <row r="17" spans="1:44" ht="15" customHeight="1" x14ac:dyDescent="0.2">
      <c r="A17" s="237" t="s">
        <v>65</v>
      </c>
      <c r="B17" s="207" t="s">
        <v>128</v>
      </c>
      <c r="C17" s="238"/>
      <c r="D17" s="239"/>
      <c r="E17" s="209">
        <v>0</v>
      </c>
      <c r="F17" s="229" t="s">
        <v>0</v>
      </c>
      <c r="G17" s="208">
        <v>0</v>
      </c>
      <c r="H17" s="211">
        <v>0</v>
      </c>
      <c r="I17" s="222">
        <f>FACTORS!$C$22*E17/1000000</f>
        <v>0</v>
      </c>
      <c r="J17" s="408">
        <f>FACTORS!$D$22*E17/1000000</f>
        <v>0</v>
      </c>
      <c r="K17" s="404">
        <f>FACTORS!$E$22*E17/1000000</f>
        <v>0</v>
      </c>
      <c r="L17" s="202">
        <f>FACTORS!$F$22*E17/1000000</f>
        <v>0</v>
      </c>
      <c r="M17" s="202">
        <f>FACTORS!$G$22*E17/1000000</f>
        <v>0</v>
      </c>
      <c r="N17" s="201">
        <f>FACTORS!$H$22*E17/1000000</f>
        <v>0</v>
      </c>
      <c r="O17" s="202" t="str">
        <f>IFERROR(FACTORS!$I$22*E17/1000000,"--")</f>
        <v>--</v>
      </c>
      <c r="P17" s="202">
        <f>FACTORS!$J$22*E17/1000000</f>
        <v>0</v>
      </c>
      <c r="Q17" s="212" t="str">
        <f>IFERROR(FACTORS!$K$22*E17/1000000, "--")</f>
        <v>--</v>
      </c>
      <c r="R17" s="222">
        <f>IFERROR(I17*$G17*$H17/2000,"--")</f>
        <v>0</v>
      </c>
      <c r="S17" s="408">
        <f t="shared" ref="S17:T20" si="14">IFERROR(J17*$G17*$H17/2000,"--")</f>
        <v>0</v>
      </c>
      <c r="T17" s="404">
        <f t="shared" si="14"/>
        <v>0</v>
      </c>
      <c r="U17" s="202">
        <f t="shared" ref="U17:U20" si="15">IFERROR(L17*$G17*$H17/2000,"--")</f>
        <v>0</v>
      </c>
      <c r="V17" s="202">
        <f t="shared" ref="V17:V20" si="16">IFERROR(M17*$G17*$H17/2000,"--")</f>
        <v>0</v>
      </c>
      <c r="W17" s="202">
        <f t="shared" ref="W17:W20" si="17">IFERROR(N17*$G17*$H17/2000,"--")</f>
        <v>0</v>
      </c>
      <c r="X17" s="202" t="str">
        <f t="shared" ref="X17:X20" si="18">IFERROR(O17*$G17*$H17/2000,"--")</f>
        <v>--</v>
      </c>
      <c r="Y17" s="202">
        <f t="shared" ref="Y17:Y20" si="19">IFERROR(P17*$G17*$H17/2000,"--")</f>
        <v>0</v>
      </c>
      <c r="Z17" s="213" t="str">
        <f t="shared" ref="Z17:Z20" si="20">IFERROR(Q17*$G17*$H17/2000,"--")</f>
        <v>--</v>
      </c>
    </row>
    <row r="18" spans="1:44" ht="15" customHeight="1" x14ac:dyDescent="0.2">
      <c r="A18" s="237"/>
      <c r="B18" s="207" t="s">
        <v>129</v>
      </c>
      <c r="C18" s="207"/>
      <c r="D18" s="240"/>
      <c r="E18" s="209">
        <v>0</v>
      </c>
      <c r="F18" s="229" t="s">
        <v>0</v>
      </c>
      <c r="G18" s="208">
        <v>0</v>
      </c>
      <c r="H18" s="211">
        <v>0</v>
      </c>
      <c r="I18" s="222">
        <f>FACTORS!$C$23*E18/1000000</f>
        <v>0</v>
      </c>
      <c r="J18" s="408">
        <f>FACTORS!$D$23*E18/1000000</f>
        <v>0</v>
      </c>
      <c r="K18" s="404">
        <f>FACTORS!$E$23*E18/1000000</f>
        <v>0</v>
      </c>
      <c r="L18" s="202">
        <f>FACTORS!$F$23*E18/1000000</f>
        <v>0</v>
      </c>
      <c r="M18" s="202">
        <f>FACTORS!$G$23*E18/1000000</f>
        <v>0</v>
      </c>
      <c r="N18" s="201">
        <f>FACTORS!$H$23*E18/1000000</f>
        <v>0</v>
      </c>
      <c r="O18" s="202" t="str">
        <f>IFERROR(FACTORS!$I$23*E18/1000000, "--")</f>
        <v>--</v>
      </c>
      <c r="P18" s="202">
        <f>FACTORS!$J$23*E18/1000000</f>
        <v>0</v>
      </c>
      <c r="Q18" s="223" t="str">
        <f>IFERROR(FACTORS!$K$23*E18/1000000, "--")</f>
        <v>--</v>
      </c>
      <c r="R18" s="222">
        <f>IFERROR(I18*$G18*$H18/2000,"--")</f>
        <v>0</v>
      </c>
      <c r="S18" s="408">
        <f t="shared" si="14"/>
        <v>0</v>
      </c>
      <c r="T18" s="404">
        <f t="shared" si="14"/>
        <v>0</v>
      </c>
      <c r="U18" s="202">
        <f t="shared" si="15"/>
        <v>0</v>
      </c>
      <c r="V18" s="202">
        <f t="shared" si="16"/>
        <v>0</v>
      </c>
      <c r="W18" s="202">
        <f t="shared" si="17"/>
        <v>0</v>
      </c>
      <c r="X18" s="202" t="str">
        <f t="shared" si="18"/>
        <v>--</v>
      </c>
      <c r="Y18" s="202">
        <f t="shared" si="19"/>
        <v>0</v>
      </c>
      <c r="Z18" s="213" t="str">
        <f t="shared" si="20"/>
        <v>--</v>
      </c>
    </row>
    <row r="19" spans="1:44" ht="15" customHeight="1" x14ac:dyDescent="0.2">
      <c r="A19" s="237"/>
      <c r="B19" s="207" t="s">
        <v>130</v>
      </c>
      <c r="C19" s="207"/>
      <c r="D19" s="240"/>
      <c r="E19" s="209">
        <v>0</v>
      </c>
      <c r="F19" s="229" t="s">
        <v>0</v>
      </c>
      <c r="G19" s="208">
        <v>0</v>
      </c>
      <c r="H19" s="211">
        <v>0</v>
      </c>
      <c r="I19" s="222">
        <f>FACTORS!$C$24*E19/1000000</f>
        <v>0</v>
      </c>
      <c r="J19" s="408">
        <f>FACTORS!$D$24*E19/1000000</f>
        <v>0</v>
      </c>
      <c r="K19" s="404">
        <f>FACTORS!$E$24*E19/1000000</f>
        <v>0</v>
      </c>
      <c r="L19" s="202">
        <f>FACTORS!$F$24*E19/1000000</f>
        <v>0</v>
      </c>
      <c r="M19" s="202">
        <f>FACTORS!$G$24*E19/1000000</f>
        <v>0</v>
      </c>
      <c r="N19" s="201">
        <f>FACTORS!$H$24*E19/1000000</f>
        <v>0</v>
      </c>
      <c r="O19" s="202" t="str">
        <f>IFERROR(FACTORS!$I$24*E19/1000000, "--")</f>
        <v>--</v>
      </c>
      <c r="P19" s="202">
        <f>FACTORS!$J$24*E19/1000000</f>
        <v>0</v>
      </c>
      <c r="Q19" s="223" t="str">
        <f>IFERROR(FACTORS!$K$24*E19/1000000, "--")</f>
        <v>--</v>
      </c>
      <c r="R19" s="222">
        <f>IFERROR(I19*$G19*$H19/2000,"--")</f>
        <v>0</v>
      </c>
      <c r="S19" s="408">
        <f t="shared" si="14"/>
        <v>0</v>
      </c>
      <c r="T19" s="404">
        <f t="shared" si="14"/>
        <v>0</v>
      </c>
      <c r="U19" s="202">
        <f t="shared" si="15"/>
        <v>0</v>
      </c>
      <c r="V19" s="202">
        <f t="shared" si="16"/>
        <v>0</v>
      </c>
      <c r="W19" s="202">
        <f t="shared" si="17"/>
        <v>0</v>
      </c>
      <c r="X19" s="202" t="str">
        <f t="shared" si="18"/>
        <v>--</v>
      </c>
      <c r="Y19" s="202">
        <f t="shared" si="19"/>
        <v>0</v>
      </c>
      <c r="Z19" s="213" t="str">
        <f t="shared" si="20"/>
        <v>--</v>
      </c>
    </row>
    <row r="20" spans="1:44" ht="15" customHeight="1" x14ac:dyDescent="0.2">
      <c r="A20" s="237"/>
      <c r="B20" s="207" t="s">
        <v>131</v>
      </c>
      <c r="C20" s="207"/>
      <c r="D20" s="240"/>
      <c r="E20" s="209">
        <v>0</v>
      </c>
      <c r="F20" s="229" t="s">
        <v>0</v>
      </c>
      <c r="G20" s="208">
        <v>0</v>
      </c>
      <c r="H20" s="211">
        <v>0</v>
      </c>
      <c r="I20" s="222">
        <f>FACTORS!$C$25*E20/1000000</f>
        <v>0</v>
      </c>
      <c r="J20" s="408">
        <f>FACTORS!$D$25*E20/1000000</f>
        <v>0</v>
      </c>
      <c r="K20" s="404">
        <f>FACTORS!$E$25*E20/1000000</f>
        <v>0</v>
      </c>
      <c r="L20" s="202">
        <f>FACTORS!$F$25*E20/1000000</f>
        <v>0</v>
      </c>
      <c r="M20" s="202">
        <f>FACTORS!$G$25*E20/1000000</f>
        <v>0</v>
      </c>
      <c r="N20" s="201">
        <f>FACTORS!$H$25*E20/1000000</f>
        <v>0</v>
      </c>
      <c r="O20" s="202" t="str">
        <f>IFERROR(FACTORS!$I$25*E20/1000000, "--")</f>
        <v>--</v>
      </c>
      <c r="P20" s="202">
        <f>FACTORS!$J$25*E20/1000000</f>
        <v>0</v>
      </c>
      <c r="Q20" s="223" t="str">
        <f>IFERROR(FACTORS!$K$25*E20/1000000, "--")</f>
        <v>--</v>
      </c>
      <c r="R20" s="328">
        <f>IFERROR(I20*$G20*$H20/2000,"--")</f>
        <v>0</v>
      </c>
      <c r="S20" s="410">
        <f t="shared" si="14"/>
        <v>0</v>
      </c>
      <c r="T20" s="411">
        <f>IFERROR(K20*$G20*$H20/2000,"--")</f>
        <v>0</v>
      </c>
      <c r="U20" s="225">
        <f t="shared" si="15"/>
        <v>0</v>
      </c>
      <c r="V20" s="225">
        <f t="shared" si="16"/>
        <v>0</v>
      </c>
      <c r="W20" s="225">
        <f t="shared" si="17"/>
        <v>0</v>
      </c>
      <c r="X20" s="225" t="str">
        <f t="shared" si="18"/>
        <v>--</v>
      </c>
      <c r="Y20" s="225">
        <f t="shared" si="19"/>
        <v>0</v>
      </c>
      <c r="Z20" s="226" t="str">
        <f t="shared" si="20"/>
        <v>--</v>
      </c>
    </row>
    <row r="21" spans="1:44" ht="24.75" customHeight="1" x14ac:dyDescent="0.2">
      <c r="A21" s="360" t="s">
        <v>184</v>
      </c>
      <c r="B21" s="362" t="s">
        <v>160</v>
      </c>
      <c r="C21" s="157"/>
      <c r="D21" s="357" t="s">
        <v>100</v>
      </c>
      <c r="E21" s="74"/>
      <c r="F21" s="74"/>
      <c r="G21" s="169" t="s">
        <v>60</v>
      </c>
      <c r="H21" s="358" t="s">
        <v>71</v>
      </c>
      <c r="I21" s="375"/>
      <c r="J21" s="425"/>
      <c r="K21" s="426"/>
      <c r="L21" s="320"/>
      <c r="M21" s="320"/>
      <c r="N21" s="121"/>
      <c r="O21" s="320"/>
      <c r="P21" s="320"/>
      <c r="Q21" s="359"/>
      <c r="R21" s="59"/>
      <c r="S21" s="414"/>
      <c r="T21" s="415"/>
      <c r="U21" s="60"/>
      <c r="V21" s="60"/>
      <c r="W21" s="60"/>
      <c r="X21" s="60"/>
      <c r="Y21" s="60"/>
      <c r="Z21" s="110"/>
    </row>
    <row r="22" spans="1:44" s="183" customFormat="1" ht="12.75" customHeight="1" x14ac:dyDescent="0.2">
      <c r="A22" s="324"/>
      <c r="B22" s="271" t="s">
        <v>120</v>
      </c>
      <c r="C22" s="272"/>
      <c r="D22" s="273">
        <v>0</v>
      </c>
      <c r="E22" s="270"/>
      <c r="F22" s="270"/>
      <c r="G22" s="273">
        <v>0</v>
      </c>
      <c r="H22" s="325">
        <v>0</v>
      </c>
      <c r="I22" s="328">
        <f>FACTORS!$C$41*D22/453.592</f>
        <v>0</v>
      </c>
      <c r="J22" s="410">
        <f>FACTORS!$D$41*D22/453.592</f>
        <v>0</v>
      </c>
      <c r="K22" s="411">
        <f>FACTORS!$E$41*D22/453.592</f>
        <v>0</v>
      </c>
      <c r="L22" s="225">
        <f>FACTORS!$F$41*D22/453.592</f>
        <v>0</v>
      </c>
      <c r="M22" s="225">
        <f>FACTORS!$G$41*D22/453.592</f>
        <v>0</v>
      </c>
      <c r="N22" s="326">
        <f>FACTORS!$H$41*D22/453.592</f>
        <v>0</v>
      </c>
      <c r="O22" s="365" t="s">
        <v>108</v>
      </c>
      <c r="P22" s="225">
        <f>FACTORS!$J$41*D22/453.592</f>
        <v>0</v>
      </c>
      <c r="Q22" s="356">
        <f>FACTORS!$K$41*D22/453.592</f>
        <v>0</v>
      </c>
      <c r="R22" s="224">
        <f t="shared" ref="R22" si="21">IFERROR((I22*$G22*$H22)/2000, "")</f>
        <v>0</v>
      </c>
      <c r="S22" s="410">
        <f>IFERROR((J22*$G22*$H22)/2000, "")</f>
        <v>0</v>
      </c>
      <c r="T22" s="411">
        <f>IFERROR((K22*$G22*$H22)/2000, "")</f>
        <v>0</v>
      </c>
      <c r="U22" s="327">
        <f t="shared" ref="U22" si="22">IFERROR((L22*$G22*$H22)/2000, "")</f>
        <v>0</v>
      </c>
      <c r="V22" s="327">
        <f t="shared" ref="V22" si="23">IFERROR((M22*$G22*$H22)/2000, "")</f>
        <v>0</v>
      </c>
      <c r="W22" s="327">
        <f t="shared" ref="W22" si="24">IFERROR((N22*$G22*$H22)/2000, "")</f>
        <v>0</v>
      </c>
      <c r="X22" s="327" t="str">
        <f>IFERROR((O22*$G22*$H22)/2000, "--")</f>
        <v>--</v>
      </c>
      <c r="Y22" s="327">
        <f t="shared" ref="Y22" si="25">IFERROR((P22*$G22*$H22)/2000, "")</f>
        <v>0</v>
      </c>
      <c r="Z22" s="226">
        <f t="shared" ref="Z22" si="26">IFERROR((Q22*$G22*$H22)/2000, "")</f>
        <v>0</v>
      </c>
      <c r="AA22" s="256"/>
      <c r="AB22" s="256"/>
      <c r="AC22" s="256"/>
      <c r="AD22" s="256"/>
      <c r="AE22" s="256"/>
      <c r="AF22" s="256"/>
      <c r="AG22" s="256"/>
      <c r="AH22" s="256"/>
      <c r="AI22" s="256"/>
      <c r="AJ22" s="256"/>
      <c r="AK22" s="256"/>
      <c r="AL22" s="256"/>
      <c r="AM22" s="256"/>
      <c r="AN22" s="256"/>
      <c r="AO22" s="256"/>
      <c r="AP22" s="256"/>
      <c r="AQ22" s="256"/>
      <c r="AR22" s="256"/>
    </row>
    <row r="23" spans="1:44" s="252" customFormat="1" ht="12.75" customHeight="1" x14ac:dyDescent="0.2">
      <c r="A23" s="248">
        <v>2020</v>
      </c>
      <c r="B23" s="249" t="s">
        <v>123</v>
      </c>
      <c r="C23" s="355"/>
      <c r="D23" s="241"/>
      <c r="E23" s="241"/>
      <c r="F23" s="250"/>
      <c r="G23" s="241"/>
      <c r="H23" s="251"/>
      <c r="I23" s="379">
        <f t="shared" ref="I23:Z23" si="27">SUM(I7:I22)</f>
        <v>0</v>
      </c>
      <c r="J23" s="412">
        <f t="shared" si="27"/>
        <v>0</v>
      </c>
      <c r="K23" s="413">
        <f t="shared" si="27"/>
        <v>0</v>
      </c>
      <c r="L23" s="253">
        <f t="shared" si="27"/>
        <v>0</v>
      </c>
      <c r="M23" s="253">
        <f t="shared" si="27"/>
        <v>0</v>
      </c>
      <c r="N23" s="253">
        <f t="shared" si="27"/>
        <v>0</v>
      </c>
      <c r="O23" s="253">
        <f t="shared" si="27"/>
        <v>0</v>
      </c>
      <c r="P23" s="253">
        <f t="shared" si="27"/>
        <v>0</v>
      </c>
      <c r="Q23" s="253">
        <f t="shared" si="27"/>
        <v>0</v>
      </c>
      <c r="R23" s="382">
        <f>SUM(R7:R22)</f>
        <v>0</v>
      </c>
      <c r="S23" s="412">
        <f t="shared" si="27"/>
        <v>0</v>
      </c>
      <c r="T23" s="413">
        <f t="shared" si="27"/>
        <v>0</v>
      </c>
      <c r="U23" s="253">
        <f t="shared" si="27"/>
        <v>0</v>
      </c>
      <c r="V23" s="253">
        <f t="shared" si="27"/>
        <v>0</v>
      </c>
      <c r="W23" s="253">
        <f t="shared" si="27"/>
        <v>0</v>
      </c>
      <c r="X23" s="253">
        <f t="shared" si="27"/>
        <v>0</v>
      </c>
      <c r="Y23" s="253">
        <f t="shared" si="27"/>
        <v>0</v>
      </c>
      <c r="Z23" s="261">
        <f t="shared" si="27"/>
        <v>0</v>
      </c>
      <c r="AA23" s="256"/>
      <c r="AB23" s="256"/>
      <c r="AC23" s="256"/>
      <c r="AD23" s="256"/>
      <c r="AE23" s="256"/>
      <c r="AF23" s="256"/>
      <c r="AG23" s="256"/>
      <c r="AH23" s="256"/>
      <c r="AI23" s="256"/>
      <c r="AJ23" s="256"/>
      <c r="AK23" s="256"/>
      <c r="AL23" s="256"/>
      <c r="AM23" s="256"/>
      <c r="AN23" s="256"/>
      <c r="AO23" s="256"/>
      <c r="AP23" s="256"/>
      <c r="AQ23" s="256"/>
      <c r="AR23" s="256"/>
    </row>
    <row r="24" spans="1:44" ht="26.1" customHeight="1" x14ac:dyDescent="0.2">
      <c r="A24" s="280" t="s">
        <v>66</v>
      </c>
      <c r="B24" s="76" t="s">
        <v>67</v>
      </c>
      <c r="C24" s="76"/>
      <c r="D24" s="70"/>
      <c r="E24" s="70"/>
      <c r="F24" s="71"/>
      <c r="G24" s="70"/>
      <c r="H24" s="119"/>
      <c r="I24" s="376"/>
      <c r="J24" s="421"/>
      <c r="K24" s="422"/>
      <c r="L24" s="285"/>
      <c r="M24" s="285"/>
      <c r="N24" s="285"/>
      <c r="O24" s="285"/>
      <c r="P24" s="285"/>
      <c r="Q24" s="120"/>
      <c r="R24" s="378">
        <f>33.3*$B$25</f>
        <v>0</v>
      </c>
      <c r="S24" s="417"/>
      <c r="T24" s="418"/>
      <c r="U24" s="288">
        <f>33.3*$B$25</f>
        <v>0</v>
      </c>
      <c r="V24" s="288">
        <f>33.3*$B$25</f>
        <v>0</v>
      </c>
      <c r="W24" s="288">
        <f>33.3*$B$25</f>
        <v>0</v>
      </c>
      <c r="X24" s="288"/>
      <c r="Y24" s="288">
        <f>3400*$B$25^(2/3)</f>
        <v>0</v>
      </c>
      <c r="Z24" s="289"/>
    </row>
    <row r="25" spans="1:44" s="276" customFormat="1" ht="12.75" customHeight="1" x14ac:dyDescent="0.2">
      <c r="A25" s="350"/>
      <c r="B25" s="137">
        <v>0</v>
      </c>
      <c r="C25" s="137"/>
      <c r="D25" s="11"/>
      <c r="E25" s="11"/>
      <c r="F25" s="136"/>
      <c r="G25" s="11"/>
      <c r="H25" s="72"/>
      <c r="I25" s="321"/>
      <c r="J25" s="387"/>
      <c r="K25" s="416"/>
      <c r="L25" s="153"/>
      <c r="M25" s="153"/>
      <c r="N25" s="153"/>
      <c r="O25" s="153"/>
      <c r="P25" s="153"/>
      <c r="Q25" s="351"/>
      <c r="R25" s="352"/>
      <c r="S25" s="419"/>
      <c r="T25" s="420"/>
      <c r="U25" s="353"/>
      <c r="V25" s="353"/>
      <c r="W25" s="353"/>
      <c r="X25" s="353"/>
      <c r="Y25" s="353"/>
      <c r="Z25" s="354"/>
      <c r="AA25" s="275"/>
      <c r="AB25" s="275"/>
      <c r="AC25" s="275"/>
      <c r="AD25" s="275"/>
      <c r="AE25" s="275"/>
      <c r="AF25" s="275"/>
      <c r="AG25" s="275"/>
      <c r="AH25" s="275"/>
      <c r="AI25" s="275"/>
      <c r="AJ25" s="275"/>
      <c r="AK25" s="275"/>
      <c r="AL25" s="275"/>
      <c r="AM25" s="275"/>
      <c r="AN25" s="275"/>
      <c r="AO25" s="275"/>
      <c r="AP25" s="275"/>
      <c r="AQ25" s="275"/>
      <c r="AR25" s="275"/>
    </row>
    <row r="26" spans="1:44" s="183" customFormat="1" ht="12.75" customHeight="1" x14ac:dyDescent="0.2">
      <c r="A26" s="174" t="s">
        <v>61</v>
      </c>
      <c r="B26" s="175" t="s">
        <v>114</v>
      </c>
      <c r="C26" s="175"/>
      <c r="D26" s="176">
        <v>0</v>
      </c>
      <c r="E26" s="177">
        <f>FACTORS!$I$2*D26</f>
        <v>0</v>
      </c>
      <c r="F26" s="178">
        <f t="shared" ref="F26:F31" si="28">E26*24</f>
        <v>0</v>
      </c>
      <c r="G26" s="179">
        <v>0</v>
      </c>
      <c r="H26" s="180">
        <v>0</v>
      </c>
      <c r="I26" s="184">
        <f>FACTORS!$C$17*D26/453.592</f>
        <v>0</v>
      </c>
      <c r="J26" s="332">
        <f>FACTORS!$D$17*D26/453.592</f>
        <v>0</v>
      </c>
      <c r="K26" s="246">
        <f>FACTORS!$E$17*D26/453.592</f>
        <v>0</v>
      </c>
      <c r="L26" s="181">
        <f>FACTORS!$F$17*D26/453.592</f>
        <v>0</v>
      </c>
      <c r="M26" s="181">
        <f>FACTORS!$G$17*D26/453.592</f>
        <v>0</v>
      </c>
      <c r="N26" s="178">
        <f>FACTORS!$H$17*D26/453.592</f>
        <v>0</v>
      </c>
      <c r="O26" s="181">
        <f>FACTORS!$I$17*D26/453.592</f>
        <v>0</v>
      </c>
      <c r="P26" s="181">
        <f>FACTORS!$J$17*D26/453.592</f>
        <v>0</v>
      </c>
      <c r="Q26" s="191">
        <f>FACTORS!$K$17*D26/453.592</f>
        <v>0</v>
      </c>
      <c r="R26" s="184">
        <f t="shared" ref="R26:R32" si="29">IF(I26=0,0,I26*($F26/($E26*24))*$G26*$H26/2000)</f>
        <v>0</v>
      </c>
      <c r="S26" s="332">
        <f t="shared" ref="S26:S32" si="30">IF(J26=0,0,J26*($F26/($E26*24))*$G26*$H26/2000)</f>
        <v>0</v>
      </c>
      <c r="T26" s="246">
        <f t="shared" ref="T26:T31" si="31">IF(K26=0,0,K26*($F26/($E26*24))*$G26*$H26/2000)</f>
        <v>0</v>
      </c>
      <c r="U26" s="181">
        <f t="shared" ref="U26:U32" si="32">IF(L26=0,0,L26*($F26/($E26*24))*$G26*$H26/2000)</f>
        <v>0</v>
      </c>
      <c r="V26" s="181">
        <f t="shared" ref="V26:V32" si="33">IF(M26=0,0,M26*($F26/($E26*24))*$G26*$H26/2000)</f>
        <v>0</v>
      </c>
      <c r="W26" s="181">
        <f t="shared" ref="W26:W32" si="34">IF(N26=0,0,N26*($F26/($E26*24))*$G26*$H26/2000)</f>
        <v>0</v>
      </c>
      <c r="X26" s="181">
        <f t="shared" ref="X26:X32" si="35">IFERROR(IF(O26=0,0,O26*($F26/($E26*24))*$G26*$H26/2000),"--")</f>
        <v>0</v>
      </c>
      <c r="Y26" s="181">
        <f t="shared" ref="Y26:Y32" si="36">IF(P26=0,0,P26*($F26/($E26*24))*$G26*$H26/2000)</f>
        <v>0</v>
      </c>
      <c r="Z26" s="182">
        <f t="shared" ref="Z26:Z32" si="37">IFERROR(IF(Q26=0,0,Q26*($F26/($E26*24))*$G26*$H26/2000),"--")</f>
        <v>0</v>
      </c>
      <c r="AA26" s="256"/>
      <c r="AB26" s="256"/>
      <c r="AC26" s="256"/>
      <c r="AD26" s="256"/>
      <c r="AE26" s="256"/>
      <c r="AF26" s="256"/>
      <c r="AG26" s="256"/>
      <c r="AH26" s="256"/>
      <c r="AI26" s="256"/>
      <c r="AJ26" s="256"/>
      <c r="AK26" s="256"/>
      <c r="AL26" s="256"/>
      <c r="AM26" s="256"/>
      <c r="AN26" s="256"/>
      <c r="AO26" s="256"/>
      <c r="AP26" s="256"/>
      <c r="AQ26" s="256"/>
      <c r="AR26" s="256"/>
    </row>
    <row r="27" spans="1:44" s="183" customFormat="1" x14ac:dyDescent="0.2">
      <c r="A27" s="174"/>
      <c r="B27" s="175" t="s">
        <v>115</v>
      </c>
      <c r="C27" s="175"/>
      <c r="D27" s="176">
        <v>0</v>
      </c>
      <c r="E27" s="177">
        <f>FACTORS!$I$2*D27</f>
        <v>0</v>
      </c>
      <c r="F27" s="178">
        <f t="shared" si="28"/>
        <v>0</v>
      </c>
      <c r="G27" s="176">
        <v>0</v>
      </c>
      <c r="H27" s="180">
        <v>0</v>
      </c>
      <c r="I27" s="184">
        <f>FACTORS!$C$17*D27/453.592</f>
        <v>0</v>
      </c>
      <c r="J27" s="181">
        <f>FACTORS!$D$17*D27/453.592</f>
        <v>0</v>
      </c>
      <c r="K27" s="246">
        <f>FACTORS!$E$17*D27/453.592</f>
        <v>0</v>
      </c>
      <c r="L27" s="181">
        <f>FACTORS!$F$17*D27/453.592</f>
        <v>0</v>
      </c>
      <c r="M27" s="181">
        <f>FACTORS!$G$17*D27/453.592</f>
        <v>0</v>
      </c>
      <c r="N27" s="178">
        <f>FACTORS!$H$17*D27/453.592</f>
        <v>0</v>
      </c>
      <c r="O27" s="181">
        <f>FACTORS!$I$17*D27/453.592</f>
        <v>0</v>
      </c>
      <c r="P27" s="181">
        <f>FACTORS!$J$17*D27/453.592</f>
        <v>0</v>
      </c>
      <c r="Q27" s="191">
        <f>FACTORS!$K$17*D27/453.592</f>
        <v>0</v>
      </c>
      <c r="R27" s="184">
        <f t="shared" si="29"/>
        <v>0</v>
      </c>
      <c r="S27" s="181">
        <f t="shared" si="30"/>
        <v>0</v>
      </c>
      <c r="T27" s="181">
        <f t="shared" si="31"/>
        <v>0</v>
      </c>
      <c r="U27" s="181">
        <f t="shared" si="32"/>
        <v>0</v>
      </c>
      <c r="V27" s="181">
        <f t="shared" si="33"/>
        <v>0</v>
      </c>
      <c r="W27" s="181">
        <f t="shared" si="34"/>
        <v>0</v>
      </c>
      <c r="X27" s="181">
        <f t="shared" si="35"/>
        <v>0</v>
      </c>
      <c r="Y27" s="181">
        <f t="shared" si="36"/>
        <v>0</v>
      </c>
      <c r="Z27" s="182">
        <f t="shared" si="37"/>
        <v>0</v>
      </c>
      <c r="AA27" s="256"/>
      <c r="AB27" s="256"/>
      <c r="AC27" s="256"/>
      <c r="AD27" s="256"/>
      <c r="AE27" s="256"/>
      <c r="AF27" s="256"/>
      <c r="AG27" s="256"/>
      <c r="AH27" s="256"/>
      <c r="AI27" s="256"/>
      <c r="AJ27" s="256"/>
      <c r="AK27" s="256"/>
      <c r="AL27" s="256"/>
      <c r="AM27" s="256"/>
      <c r="AN27" s="256"/>
      <c r="AO27" s="256"/>
      <c r="AP27" s="256"/>
      <c r="AQ27" s="256"/>
      <c r="AR27" s="256"/>
    </row>
    <row r="28" spans="1:44" s="183" customFormat="1" x14ac:dyDescent="0.2">
      <c r="A28" s="174"/>
      <c r="B28" s="175" t="s">
        <v>116</v>
      </c>
      <c r="C28" s="175"/>
      <c r="D28" s="176">
        <v>0</v>
      </c>
      <c r="E28" s="177">
        <f>FACTORS!$I$2*D28</f>
        <v>0</v>
      </c>
      <c r="F28" s="178">
        <f t="shared" si="28"/>
        <v>0</v>
      </c>
      <c r="G28" s="176">
        <v>0</v>
      </c>
      <c r="H28" s="180">
        <v>0</v>
      </c>
      <c r="I28" s="184">
        <f>FACTORS!$C$17*D28/453.592</f>
        <v>0</v>
      </c>
      <c r="J28" s="181">
        <f>FACTORS!$D$17*D28/453.592</f>
        <v>0</v>
      </c>
      <c r="K28" s="246">
        <f>FACTORS!$E$17*D28/453.592</f>
        <v>0</v>
      </c>
      <c r="L28" s="181">
        <f>FACTORS!$F$17*D28/453.592</f>
        <v>0</v>
      </c>
      <c r="M28" s="181">
        <f>FACTORS!$G$17*D28/453.592</f>
        <v>0</v>
      </c>
      <c r="N28" s="178">
        <f>FACTORS!$H$17*D28/453.592</f>
        <v>0</v>
      </c>
      <c r="O28" s="181">
        <f>FACTORS!$I$17*D28/453.592</f>
        <v>0</v>
      </c>
      <c r="P28" s="181">
        <f>FACTORS!$J$17*D28/453.592</f>
        <v>0</v>
      </c>
      <c r="Q28" s="191">
        <f>FACTORS!$K$17*D28/453.592</f>
        <v>0</v>
      </c>
      <c r="R28" s="184">
        <f t="shared" si="29"/>
        <v>0</v>
      </c>
      <c r="S28" s="181">
        <f t="shared" si="30"/>
        <v>0</v>
      </c>
      <c r="T28" s="181">
        <f t="shared" si="31"/>
        <v>0</v>
      </c>
      <c r="U28" s="181">
        <f t="shared" si="32"/>
        <v>0</v>
      </c>
      <c r="V28" s="181">
        <f t="shared" si="33"/>
        <v>0</v>
      </c>
      <c r="W28" s="181">
        <f t="shared" si="34"/>
        <v>0</v>
      </c>
      <c r="X28" s="181">
        <f t="shared" si="35"/>
        <v>0</v>
      </c>
      <c r="Y28" s="181">
        <f t="shared" si="36"/>
        <v>0</v>
      </c>
      <c r="Z28" s="182">
        <f t="shared" si="37"/>
        <v>0</v>
      </c>
      <c r="AA28" s="256"/>
      <c r="AB28" s="256"/>
      <c r="AC28" s="256"/>
      <c r="AD28" s="256"/>
      <c r="AE28" s="256"/>
      <c r="AF28" s="256"/>
      <c r="AG28" s="256"/>
      <c r="AH28" s="256"/>
      <c r="AI28" s="256"/>
      <c r="AJ28" s="256"/>
      <c r="AK28" s="256"/>
      <c r="AL28" s="256"/>
      <c r="AM28" s="256"/>
      <c r="AN28" s="256"/>
      <c r="AO28" s="256"/>
      <c r="AP28" s="256"/>
      <c r="AQ28" s="256"/>
      <c r="AR28" s="256"/>
    </row>
    <row r="29" spans="1:44" s="183" customFormat="1" ht="12.75" customHeight="1" x14ac:dyDescent="0.2">
      <c r="A29" s="174" t="s">
        <v>63</v>
      </c>
      <c r="B29" s="175" t="s">
        <v>118</v>
      </c>
      <c r="C29" s="175"/>
      <c r="D29" s="176">
        <v>0</v>
      </c>
      <c r="E29" s="177">
        <f>FACTORS!$I$2*D29</f>
        <v>0</v>
      </c>
      <c r="F29" s="178">
        <f t="shared" si="28"/>
        <v>0</v>
      </c>
      <c r="G29" s="179">
        <v>0</v>
      </c>
      <c r="H29" s="180">
        <v>0</v>
      </c>
      <c r="I29" s="184">
        <f>FACTORS!$C$17*D29/453.592</f>
        <v>0</v>
      </c>
      <c r="J29" s="181">
        <f>FACTORS!$D$17*D29/453.592</f>
        <v>0</v>
      </c>
      <c r="K29" s="246">
        <f>FACTORS!$E$17*D29/453.592</f>
        <v>0</v>
      </c>
      <c r="L29" s="181">
        <f>FACTORS!$F$17*D29/453.592</f>
        <v>0</v>
      </c>
      <c r="M29" s="181">
        <f>FACTORS!$G$17*D29/453.592</f>
        <v>0</v>
      </c>
      <c r="N29" s="178">
        <f>FACTORS!$H$17*D29/453.592</f>
        <v>0</v>
      </c>
      <c r="O29" s="181">
        <f>FACTORS!$I$17*D29/453.592</f>
        <v>0</v>
      </c>
      <c r="P29" s="181">
        <f>FACTORS!$J$17*D29/453.592</f>
        <v>0</v>
      </c>
      <c r="Q29" s="191">
        <f>FACTORS!$K$17*D29/453.592</f>
        <v>0</v>
      </c>
      <c r="R29" s="184">
        <f t="shared" si="29"/>
        <v>0</v>
      </c>
      <c r="S29" s="181">
        <f t="shared" si="30"/>
        <v>0</v>
      </c>
      <c r="T29" s="181">
        <f t="shared" si="31"/>
        <v>0</v>
      </c>
      <c r="U29" s="181">
        <f t="shared" si="32"/>
        <v>0</v>
      </c>
      <c r="V29" s="181">
        <f t="shared" si="33"/>
        <v>0</v>
      </c>
      <c r="W29" s="181">
        <f t="shared" si="34"/>
        <v>0</v>
      </c>
      <c r="X29" s="181">
        <f t="shared" si="35"/>
        <v>0</v>
      </c>
      <c r="Y29" s="181">
        <f t="shared" si="36"/>
        <v>0</v>
      </c>
      <c r="Z29" s="182">
        <f t="shared" si="37"/>
        <v>0</v>
      </c>
      <c r="AA29" s="256"/>
      <c r="AB29" s="256"/>
      <c r="AC29" s="256"/>
      <c r="AD29" s="256"/>
      <c r="AE29" s="256"/>
      <c r="AF29" s="256"/>
      <c r="AG29" s="256"/>
      <c r="AH29" s="256"/>
      <c r="AI29" s="256"/>
      <c r="AJ29" s="256"/>
      <c r="AK29" s="256"/>
      <c r="AL29" s="256"/>
      <c r="AM29" s="256"/>
      <c r="AN29" s="256"/>
      <c r="AO29" s="256"/>
      <c r="AP29" s="256"/>
      <c r="AQ29" s="256"/>
      <c r="AR29" s="256"/>
    </row>
    <row r="30" spans="1:44" s="183" customFormat="1" ht="12.75" customHeight="1" x14ac:dyDescent="0.2">
      <c r="A30" s="174" t="s">
        <v>62</v>
      </c>
      <c r="B30" s="175" t="s">
        <v>117</v>
      </c>
      <c r="C30" s="175"/>
      <c r="D30" s="176">
        <v>0</v>
      </c>
      <c r="E30" s="177">
        <f>FACTORS!$I$2*D30</f>
        <v>0</v>
      </c>
      <c r="F30" s="178">
        <f t="shared" si="28"/>
        <v>0</v>
      </c>
      <c r="G30" s="179">
        <v>0</v>
      </c>
      <c r="H30" s="180">
        <v>0</v>
      </c>
      <c r="I30" s="184">
        <f>FACTORS!$C$17*D30/453.592</f>
        <v>0</v>
      </c>
      <c r="J30" s="181">
        <f>FACTORS!$D$17*D30/453.592</f>
        <v>0</v>
      </c>
      <c r="K30" s="246">
        <f>FACTORS!$E$17*D30/453.592</f>
        <v>0</v>
      </c>
      <c r="L30" s="181">
        <f>FACTORS!$F$17*D30/453.592</f>
        <v>0</v>
      </c>
      <c r="M30" s="181">
        <f>FACTORS!$G$17*D30/453.592</f>
        <v>0</v>
      </c>
      <c r="N30" s="178">
        <f>FACTORS!$H$17*D30/453.592</f>
        <v>0</v>
      </c>
      <c r="O30" s="181">
        <f>FACTORS!$I$17*D30/453.592</f>
        <v>0</v>
      </c>
      <c r="P30" s="181">
        <f>FACTORS!$J$17*D30/453.592</f>
        <v>0</v>
      </c>
      <c r="Q30" s="191">
        <f>FACTORS!$K$17*D30/453.592</f>
        <v>0</v>
      </c>
      <c r="R30" s="184">
        <f t="shared" si="29"/>
        <v>0</v>
      </c>
      <c r="S30" s="181">
        <f t="shared" si="30"/>
        <v>0</v>
      </c>
      <c r="T30" s="181">
        <f t="shared" si="31"/>
        <v>0</v>
      </c>
      <c r="U30" s="181">
        <f t="shared" si="32"/>
        <v>0</v>
      </c>
      <c r="V30" s="181">
        <f t="shared" si="33"/>
        <v>0</v>
      </c>
      <c r="W30" s="181">
        <f t="shared" si="34"/>
        <v>0</v>
      </c>
      <c r="X30" s="181">
        <f t="shared" si="35"/>
        <v>0</v>
      </c>
      <c r="Y30" s="181">
        <f t="shared" si="36"/>
        <v>0</v>
      </c>
      <c r="Z30" s="182">
        <f t="shared" si="37"/>
        <v>0</v>
      </c>
      <c r="AA30" s="256"/>
      <c r="AB30" s="256"/>
      <c r="AC30" s="256"/>
      <c r="AD30" s="256"/>
      <c r="AE30" s="256"/>
      <c r="AF30" s="256"/>
      <c r="AG30" s="256"/>
      <c r="AH30" s="256"/>
      <c r="AI30" s="256"/>
      <c r="AJ30" s="256"/>
      <c r="AK30" s="256"/>
      <c r="AL30" s="256"/>
      <c r="AM30" s="256"/>
      <c r="AN30" s="256"/>
      <c r="AO30" s="256"/>
      <c r="AP30" s="256"/>
      <c r="AQ30" s="256"/>
      <c r="AR30" s="256"/>
    </row>
    <row r="31" spans="1:44" s="183" customFormat="1" x14ac:dyDescent="0.2">
      <c r="A31" s="174"/>
      <c r="B31" s="175" t="s">
        <v>115</v>
      </c>
      <c r="C31" s="175"/>
      <c r="D31" s="176">
        <v>0</v>
      </c>
      <c r="E31" s="177">
        <f>FACTORS!$I$2*D31</f>
        <v>0</v>
      </c>
      <c r="F31" s="178">
        <f t="shared" si="28"/>
        <v>0</v>
      </c>
      <c r="G31" s="176">
        <v>0</v>
      </c>
      <c r="H31" s="180">
        <v>0</v>
      </c>
      <c r="I31" s="184">
        <f>FACTORS!$C$17*D31/453.592</f>
        <v>0</v>
      </c>
      <c r="J31" s="181">
        <f>FACTORS!$D$17*D31/453.592</f>
        <v>0</v>
      </c>
      <c r="K31" s="246">
        <f>FACTORS!$E$17*D31/453.592</f>
        <v>0</v>
      </c>
      <c r="L31" s="181">
        <f>FACTORS!$F$17*D31/453.592</f>
        <v>0</v>
      </c>
      <c r="M31" s="181">
        <f>FACTORS!$G$17*D31/453.592</f>
        <v>0</v>
      </c>
      <c r="N31" s="178">
        <f>FACTORS!$H$17*D31/453.592</f>
        <v>0</v>
      </c>
      <c r="O31" s="181">
        <f>FACTORS!$I$17*D31/453.592</f>
        <v>0</v>
      </c>
      <c r="P31" s="181">
        <f>FACTORS!$J$17*D31/453.592</f>
        <v>0</v>
      </c>
      <c r="Q31" s="191">
        <f>FACTORS!$K$17*D31/453.592</f>
        <v>0</v>
      </c>
      <c r="R31" s="184">
        <f t="shared" si="29"/>
        <v>0</v>
      </c>
      <c r="S31" s="181">
        <f t="shared" si="30"/>
        <v>0</v>
      </c>
      <c r="T31" s="181">
        <f t="shared" si="31"/>
        <v>0</v>
      </c>
      <c r="U31" s="181">
        <f t="shared" si="32"/>
        <v>0</v>
      </c>
      <c r="V31" s="181">
        <f t="shared" si="33"/>
        <v>0</v>
      </c>
      <c r="W31" s="181">
        <f t="shared" si="34"/>
        <v>0</v>
      </c>
      <c r="X31" s="181">
        <f t="shared" si="35"/>
        <v>0</v>
      </c>
      <c r="Y31" s="181">
        <f t="shared" si="36"/>
        <v>0</v>
      </c>
      <c r="Z31" s="182">
        <f t="shared" si="37"/>
        <v>0</v>
      </c>
      <c r="AA31" s="256"/>
      <c r="AB31" s="256"/>
      <c r="AC31" s="256"/>
      <c r="AD31" s="256"/>
      <c r="AE31" s="256"/>
      <c r="AF31" s="256"/>
      <c r="AG31" s="256"/>
      <c r="AH31" s="256"/>
      <c r="AI31" s="256"/>
      <c r="AJ31" s="256"/>
      <c r="AK31" s="256"/>
      <c r="AL31" s="256"/>
      <c r="AM31" s="256"/>
      <c r="AN31" s="256"/>
      <c r="AO31" s="256"/>
      <c r="AP31" s="256"/>
      <c r="AQ31" s="256"/>
      <c r="AR31" s="256"/>
    </row>
    <row r="32" spans="1:44" s="183" customFormat="1" ht="12.75" customHeight="1" x14ac:dyDescent="0.2">
      <c r="A32" s="339" t="s">
        <v>64</v>
      </c>
      <c r="B32" s="340" t="s">
        <v>119</v>
      </c>
      <c r="C32" s="340"/>
      <c r="D32" s="341">
        <v>0</v>
      </c>
      <c r="E32" s="342">
        <f>FACTORS!$I$2*D32</f>
        <v>0</v>
      </c>
      <c r="F32" s="343">
        <f t="shared" ref="F32" si="38">E32*24</f>
        <v>0</v>
      </c>
      <c r="G32" s="344">
        <v>0</v>
      </c>
      <c r="H32" s="345">
        <v>0</v>
      </c>
      <c r="I32" s="346">
        <f>FACTORS!$C$17*D32/453.592</f>
        <v>0</v>
      </c>
      <c r="J32" s="347">
        <f>FACTORS!$D$17*D32/453.592</f>
        <v>0</v>
      </c>
      <c r="K32" s="427">
        <f>FACTORS!$E$17*D32/453.592</f>
        <v>0</v>
      </c>
      <c r="L32" s="347">
        <f>FACTORS!$F$17*D32/453.592</f>
        <v>0</v>
      </c>
      <c r="M32" s="347">
        <f>FACTORS!$G$17*D32/453.592</f>
        <v>0</v>
      </c>
      <c r="N32" s="343">
        <f>FACTORS!$H$17*D32/453.592</f>
        <v>0</v>
      </c>
      <c r="O32" s="347">
        <f>FACTORS!$I$17*D32/453.592</f>
        <v>0</v>
      </c>
      <c r="P32" s="347">
        <f>FACTORS!$J$17*D32/453.592</f>
        <v>0</v>
      </c>
      <c r="Q32" s="348">
        <f>FACTORS!$K$17*D32/453.592</f>
        <v>0</v>
      </c>
      <c r="R32" s="346">
        <f t="shared" si="29"/>
        <v>0</v>
      </c>
      <c r="S32" s="347">
        <f t="shared" si="30"/>
        <v>0</v>
      </c>
      <c r="T32" s="347">
        <f>IF(K32=0,0,K32*($F32/($E32*24))*$G32*$H32/2000)</f>
        <v>0</v>
      </c>
      <c r="U32" s="347">
        <f t="shared" si="32"/>
        <v>0</v>
      </c>
      <c r="V32" s="347">
        <f t="shared" si="33"/>
        <v>0</v>
      </c>
      <c r="W32" s="347">
        <f t="shared" si="34"/>
        <v>0</v>
      </c>
      <c r="X32" s="347">
        <f t="shared" si="35"/>
        <v>0</v>
      </c>
      <c r="Y32" s="347">
        <f t="shared" si="36"/>
        <v>0</v>
      </c>
      <c r="Z32" s="349">
        <f t="shared" si="37"/>
        <v>0</v>
      </c>
      <c r="AA32" s="256"/>
      <c r="AB32" s="256"/>
      <c r="AC32" s="256"/>
      <c r="AD32" s="256"/>
      <c r="AE32" s="256"/>
      <c r="AF32" s="256"/>
      <c r="AG32" s="256"/>
      <c r="AH32" s="256"/>
      <c r="AI32" s="256"/>
      <c r="AJ32" s="256"/>
      <c r="AK32" s="256"/>
      <c r="AL32" s="256"/>
      <c r="AM32" s="256"/>
      <c r="AN32" s="256"/>
      <c r="AO32" s="256"/>
      <c r="AP32" s="256"/>
      <c r="AQ32" s="256"/>
      <c r="AR32" s="256"/>
    </row>
    <row r="33" spans="1:44" ht="27.75" customHeight="1" x14ac:dyDescent="0.2">
      <c r="A33" s="361" t="s">
        <v>184</v>
      </c>
      <c r="B33" s="363" t="s">
        <v>107</v>
      </c>
      <c r="C33" s="111"/>
      <c r="D33" s="122"/>
      <c r="E33" s="42" t="s">
        <v>53</v>
      </c>
      <c r="F33" s="43" t="s">
        <v>54</v>
      </c>
      <c r="G33" s="50"/>
      <c r="H33" s="119"/>
      <c r="I33" s="158"/>
      <c r="J33" s="387"/>
      <c r="K33" s="416"/>
      <c r="L33" s="153"/>
      <c r="M33" s="153"/>
      <c r="N33" s="73"/>
      <c r="O33" s="153"/>
      <c r="P33" s="153"/>
      <c r="Q33" s="120"/>
      <c r="R33" s="158"/>
      <c r="S33" s="387"/>
      <c r="T33" s="387"/>
      <c r="U33" s="153"/>
      <c r="V33" s="153"/>
      <c r="W33" s="153"/>
      <c r="X33" s="153"/>
      <c r="Y33" s="153"/>
      <c r="Z33" s="322"/>
    </row>
    <row r="34" spans="1:44" ht="12.75" customHeight="1" x14ac:dyDescent="0.2">
      <c r="A34" s="330"/>
      <c r="B34" s="364" t="s">
        <v>148</v>
      </c>
      <c r="C34" s="333"/>
      <c r="D34" s="334" t="s">
        <v>132</v>
      </c>
      <c r="E34" s="74"/>
      <c r="F34" s="74"/>
      <c r="G34" s="335"/>
      <c r="H34" s="336"/>
      <c r="I34" s="337"/>
      <c r="J34" s="423"/>
      <c r="K34" s="424"/>
      <c r="L34" s="68"/>
      <c r="M34" s="68"/>
      <c r="N34" s="329"/>
      <c r="O34" s="68"/>
      <c r="P34" s="68"/>
      <c r="Q34" s="338"/>
      <c r="R34" s="337"/>
      <c r="S34" s="423"/>
      <c r="T34" s="423"/>
      <c r="U34" s="68"/>
      <c r="V34" s="68"/>
      <c r="W34" s="68"/>
      <c r="X34" s="68"/>
      <c r="Y34" s="68"/>
      <c r="Z34" s="69"/>
    </row>
    <row r="35" spans="1:44" ht="12.75" customHeight="1" x14ac:dyDescent="0.2">
      <c r="A35" s="330"/>
      <c r="B35" s="363" t="s">
        <v>160</v>
      </c>
      <c r="C35" s="157"/>
      <c r="D35" s="122" t="s">
        <v>100</v>
      </c>
      <c r="E35" s="74"/>
      <c r="F35" s="74"/>
      <c r="G35" s="70" t="s">
        <v>60</v>
      </c>
      <c r="H35" s="119" t="s">
        <v>71</v>
      </c>
      <c r="I35" s="158"/>
      <c r="J35" s="387"/>
      <c r="K35" s="416"/>
      <c r="L35" s="153"/>
      <c r="M35" s="153"/>
      <c r="N35" s="73"/>
      <c r="O35" s="153"/>
      <c r="P35" s="153"/>
      <c r="Q35" s="120"/>
      <c r="R35" s="319"/>
      <c r="S35" s="423"/>
      <c r="T35" s="424"/>
      <c r="U35" s="68"/>
      <c r="V35" s="68"/>
      <c r="W35" s="68"/>
      <c r="X35" s="68"/>
      <c r="Y35" s="68"/>
      <c r="Z35" s="69"/>
    </row>
    <row r="36" spans="1:44" s="183" customFormat="1" ht="12.75" customHeight="1" x14ac:dyDescent="0.2">
      <c r="A36" s="174"/>
      <c r="B36" s="242" t="s">
        <v>153</v>
      </c>
      <c r="C36" s="323"/>
      <c r="D36" s="244"/>
      <c r="E36" s="176">
        <v>0</v>
      </c>
      <c r="F36" s="245">
        <f>E36*24</f>
        <v>0</v>
      </c>
      <c r="G36" s="176">
        <v>0</v>
      </c>
      <c r="H36" s="180">
        <v>0</v>
      </c>
      <c r="I36" s="184">
        <f>IFERROR(FACTORS!$C$34*E36,"--")</f>
        <v>0</v>
      </c>
      <c r="J36" s="181">
        <f>IFERROR(FACTORS!$D$34*E36,"--")</f>
        <v>0</v>
      </c>
      <c r="K36" s="246">
        <f>IFERROR(FACTORS!$E$34*E36,"--")</f>
        <v>0</v>
      </c>
      <c r="L36" s="178">
        <f>IFERROR(FACTORS!$F$34*E36,"--")</f>
        <v>0</v>
      </c>
      <c r="M36" s="178">
        <f>IFERROR(FACTORS!$G$34*E36,"--")</f>
        <v>0</v>
      </c>
      <c r="N36" s="178">
        <f>IFERROR(FACTORS!$H$34*E36,"--")</f>
        <v>0</v>
      </c>
      <c r="O36" s="181" t="str">
        <f>IFERROR(FACTORS!$I$34*E36,"--")</f>
        <v>--</v>
      </c>
      <c r="P36" s="181">
        <f>IFERROR(FACTORS!$J$34*E36,"--")</f>
        <v>0</v>
      </c>
      <c r="Q36" s="191">
        <f>IFERROR(FACTORS!$K$34*E36,"--")</f>
        <v>0</v>
      </c>
      <c r="R36" s="331">
        <f t="shared" ref="R36:R41" si="39">IFERROR((I36*$G36*$H36)/2000, "")</f>
        <v>0</v>
      </c>
      <c r="S36" s="332">
        <f>IFERROR((J36*$G36*$H36)/2000, "")</f>
        <v>0</v>
      </c>
      <c r="T36" s="317">
        <f t="shared" ref="T36:T42" si="40">IFERROR((K36*$G36*$H36)/2000, "")</f>
        <v>0</v>
      </c>
      <c r="U36" s="317">
        <f t="shared" ref="U36:W43" si="41">IFERROR((L36*$G36*$H36)/2000, "")</f>
        <v>0</v>
      </c>
      <c r="V36" s="317">
        <f t="shared" si="41"/>
        <v>0</v>
      </c>
      <c r="W36" s="317">
        <f t="shared" si="41"/>
        <v>0</v>
      </c>
      <c r="X36" s="317" t="str">
        <f t="shared" ref="X36:X43" si="42">IFERROR((O36*$G36*$H36)/2000, "--")</f>
        <v>--</v>
      </c>
      <c r="Y36" s="317">
        <f t="shared" ref="Y36:Z43" si="43">IFERROR((P36*$G36*$H36)/2000, "")</f>
        <v>0</v>
      </c>
      <c r="Z36" s="318">
        <f t="shared" si="43"/>
        <v>0</v>
      </c>
      <c r="AA36" s="256"/>
      <c r="AB36" s="256"/>
      <c r="AC36" s="256"/>
      <c r="AD36" s="256"/>
      <c r="AE36" s="256"/>
      <c r="AF36" s="256"/>
      <c r="AG36" s="256"/>
      <c r="AH36" s="256"/>
      <c r="AI36" s="256"/>
      <c r="AJ36" s="256"/>
      <c r="AK36" s="256"/>
      <c r="AL36" s="256"/>
      <c r="AM36" s="256"/>
      <c r="AN36" s="256"/>
      <c r="AO36" s="256"/>
      <c r="AP36" s="256"/>
      <c r="AQ36" s="256"/>
      <c r="AR36" s="256"/>
    </row>
    <row r="37" spans="1:44" s="183" customFormat="1" ht="12.75" customHeight="1" x14ac:dyDescent="0.2">
      <c r="A37" s="174"/>
      <c r="B37" s="242" t="s">
        <v>87</v>
      </c>
      <c r="C37" s="243"/>
      <c r="D37" s="244"/>
      <c r="E37" s="176">
        <v>0</v>
      </c>
      <c r="F37" s="245">
        <f>E37*24</f>
        <v>0</v>
      </c>
      <c r="G37" s="176">
        <v>0</v>
      </c>
      <c r="H37" s="180">
        <v>0</v>
      </c>
      <c r="I37" s="184">
        <f>IFERROR(FACTORS!$C$35*E37,"--")</f>
        <v>0</v>
      </c>
      <c r="J37" s="181">
        <f>IFERROR(FACTORS!$D$35*E37,"--")</f>
        <v>0</v>
      </c>
      <c r="K37" s="246">
        <f>IFERROR(FACTORS!$E$35*E37,"--")</f>
        <v>0</v>
      </c>
      <c r="L37" s="178">
        <f>IFERROR(FACTORS!$F$35*E37,"--")</f>
        <v>0</v>
      </c>
      <c r="M37" s="178">
        <f>IFERROR(FACTORS!$G$35*E37,"--")</f>
        <v>0</v>
      </c>
      <c r="N37" s="178">
        <f>IFERROR(FACTORS!$H$35*E37,"--")</f>
        <v>0</v>
      </c>
      <c r="O37" s="181" t="str">
        <f>IFERROR(FACTORS!$I$35*E37,"--")</f>
        <v>--</v>
      </c>
      <c r="P37" s="181">
        <f>IFERROR(FACTORS!$J$35*E37,"--")</f>
        <v>0</v>
      </c>
      <c r="Q37" s="191">
        <f>IFERROR(FACTORS!$K$35*E37,"--")</f>
        <v>0</v>
      </c>
      <c r="R37" s="184">
        <f t="shared" si="39"/>
        <v>0</v>
      </c>
      <c r="S37" s="181">
        <f t="shared" ref="S37:S42" si="44">IFERROR((J37*$G37*$H37)/2000, "")</f>
        <v>0</v>
      </c>
      <c r="T37" s="246">
        <f t="shared" si="40"/>
        <v>0</v>
      </c>
      <c r="U37" s="246">
        <f t="shared" si="41"/>
        <v>0</v>
      </c>
      <c r="V37" s="246">
        <f t="shared" si="41"/>
        <v>0</v>
      </c>
      <c r="W37" s="246">
        <f t="shared" si="41"/>
        <v>0</v>
      </c>
      <c r="X37" s="246" t="str">
        <f t="shared" si="42"/>
        <v>--</v>
      </c>
      <c r="Y37" s="246">
        <f t="shared" si="43"/>
        <v>0</v>
      </c>
      <c r="Z37" s="182">
        <f t="shared" si="43"/>
        <v>0</v>
      </c>
      <c r="AA37" s="256"/>
      <c r="AB37" s="256"/>
      <c r="AC37" s="256"/>
      <c r="AD37" s="256"/>
      <c r="AE37" s="256"/>
      <c r="AF37" s="256"/>
      <c r="AG37" s="256"/>
      <c r="AH37" s="256"/>
      <c r="AI37" s="256"/>
      <c r="AJ37" s="256"/>
      <c r="AK37" s="256"/>
      <c r="AL37" s="256"/>
      <c r="AM37" s="256"/>
      <c r="AN37" s="256"/>
      <c r="AO37" s="256"/>
      <c r="AP37" s="256"/>
      <c r="AQ37" s="256"/>
      <c r="AR37" s="256"/>
    </row>
    <row r="38" spans="1:44" s="183" customFormat="1" ht="12.75" customHeight="1" x14ac:dyDescent="0.2">
      <c r="A38" s="174"/>
      <c r="B38" s="242" t="s">
        <v>102</v>
      </c>
      <c r="C38" s="243"/>
      <c r="D38" s="244"/>
      <c r="E38" s="176">
        <v>0</v>
      </c>
      <c r="F38" s="245">
        <f t="shared" ref="F38:F41" si="45">E38*24</f>
        <v>0</v>
      </c>
      <c r="G38" s="176">
        <v>0</v>
      </c>
      <c r="H38" s="180">
        <v>0</v>
      </c>
      <c r="I38" s="184">
        <f>IFERROR(FACTORS!$C$36*E38,"--")</f>
        <v>0</v>
      </c>
      <c r="J38" s="181">
        <f>IFERROR(FACTORS!$D$36*E38,"--")</f>
        <v>0</v>
      </c>
      <c r="K38" s="246">
        <f>IFERROR(FACTORS!$E$36*E38,"--")</f>
        <v>0</v>
      </c>
      <c r="L38" s="178">
        <f>IFERROR(FACTORS!$F$36*E38,"--")</f>
        <v>0</v>
      </c>
      <c r="M38" s="178">
        <f>IFERROR(FACTORS!$G$36*E38,"--")</f>
        <v>0</v>
      </c>
      <c r="N38" s="178">
        <f>IFERROR(FACTORS!$H$36*E38,"--")</f>
        <v>0</v>
      </c>
      <c r="O38" s="181" t="str">
        <f>IFERROR(FACTORS!$I$36*E38,"--")</f>
        <v>--</v>
      </c>
      <c r="P38" s="181">
        <f>IFERROR(FACTORS!$J$36*E38,"--")</f>
        <v>0</v>
      </c>
      <c r="Q38" s="191">
        <f>IFERROR(FACTORS!$K$36*E38,"--")</f>
        <v>0</v>
      </c>
      <c r="R38" s="184">
        <f t="shared" si="39"/>
        <v>0</v>
      </c>
      <c r="S38" s="181">
        <f t="shared" si="44"/>
        <v>0</v>
      </c>
      <c r="T38" s="246">
        <f t="shared" si="40"/>
        <v>0</v>
      </c>
      <c r="U38" s="246">
        <f t="shared" si="41"/>
        <v>0</v>
      </c>
      <c r="V38" s="246">
        <f t="shared" si="41"/>
        <v>0</v>
      </c>
      <c r="W38" s="246">
        <f t="shared" si="41"/>
        <v>0</v>
      </c>
      <c r="X38" s="246" t="str">
        <f t="shared" si="42"/>
        <v>--</v>
      </c>
      <c r="Y38" s="246">
        <f t="shared" si="43"/>
        <v>0</v>
      </c>
      <c r="Z38" s="182">
        <f t="shared" si="43"/>
        <v>0</v>
      </c>
      <c r="AA38" s="256"/>
      <c r="AB38" s="256"/>
      <c r="AC38" s="256"/>
      <c r="AD38" s="256"/>
      <c r="AE38" s="256"/>
      <c r="AF38" s="256"/>
      <c r="AG38" s="256"/>
      <c r="AH38" s="256"/>
      <c r="AI38" s="256"/>
      <c r="AJ38" s="256"/>
      <c r="AK38" s="256"/>
      <c r="AL38" s="256"/>
      <c r="AM38" s="256"/>
      <c r="AN38" s="256"/>
      <c r="AO38" s="256"/>
      <c r="AP38" s="256"/>
      <c r="AQ38" s="256"/>
      <c r="AR38" s="256"/>
    </row>
    <row r="39" spans="1:44" s="183" customFormat="1" ht="12.75" customHeight="1" x14ac:dyDescent="0.2">
      <c r="A39" s="174"/>
      <c r="B39" s="242" t="s">
        <v>154</v>
      </c>
      <c r="C39" s="243"/>
      <c r="D39" s="244"/>
      <c r="E39" s="176">
        <v>0</v>
      </c>
      <c r="F39" s="245">
        <f t="shared" si="45"/>
        <v>0</v>
      </c>
      <c r="G39" s="176">
        <v>0</v>
      </c>
      <c r="H39" s="180">
        <v>0</v>
      </c>
      <c r="I39" s="184">
        <f>IFERROR(FACTORS!$C$37*E39,"--")</f>
        <v>0</v>
      </c>
      <c r="J39" s="181">
        <f>IFERROR(FACTORS!$D$37*E39,"--")</f>
        <v>0</v>
      </c>
      <c r="K39" s="246">
        <f>IFERROR(FACTORS!$E$37*E39,"--")</f>
        <v>0</v>
      </c>
      <c r="L39" s="178">
        <f>IFERROR(FACTORS!$F$37*E39,"--")</f>
        <v>0</v>
      </c>
      <c r="M39" s="178">
        <f>IFERROR(FACTORS!$G$37*E39,"--")</f>
        <v>0</v>
      </c>
      <c r="N39" s="178">
        <f>IFERROR(FACTORS!$H$37*E39,"--")</f>
        <v>0</v>
      </c>
      <c r="O39" s="181" t="str">
        <f>IFERROR(FACTORS!$I$37*E39,"--")</f>
        <v>--</v>
      </c>
      <c r="P39" s="181">
        <f>IFERROR(FACTORS!$J$37*E39,"--")</f>
        <v>0</v>
      </c>
      <c r="Q39" s="191">
        <f>IFERROR(FACTORS!$K$37*E39,"--")</f>
        <v>0</v>
      </c>
      <c r="R39" s="184">
        <f t="shared" si="39"/>
        <v>0</v>
      </c>
      <c r="S39" s="181">
        <f t="shared" si="44"/>
        <v>0</v>
      </c>
      <c r="T39" s="246">
        <f t="shared" si="40"/>
        <v>0</v>
      </c>
      <c r="U39" s="246">
        <f t="shared" si="41"/>
        <v>0</v>
      </c>
      <c r="V39" s="246">
        <f t="shared" si="41"/>
        <v>0</v>
      </c>
      <c r="W39" s="246">
        <f t="shared" si="41"/>
        <v>0</v>
      </c>
      <c r="X39" s="246" t="str">
        <f t="shared" si="42"/>
        <v>--</v>
      </c>
      <c r="Y39" s="246">
        <f t="shared" si="43"/>
        <v>0</v>
      </c>
      <c r="Z39" s="182">
        <f t="shared" si="43"/>
        <v>0</v>
      </c>
      <c r="AA39" s="256"/>
      <c r="AB39" s="256"/>
      <c r="AC39" s="256"/>
      <c r="AD39" s="256"/>
      <c r="AE39" s="256"/>
      <c r="AF39" s="256"/>
      <c r="AG39" s="256"/>
      <c r="AH39" s="256"/>
      <c r="AI39" s="256"/>
      <c r="AJ39" s="256"/>
      <c r="AK39" s="256"/>
      <c r="AL39" s="256"/>
      <c r="AM39" s="256"/>
      <c r="AN39" s="256"/>
      <c r="AO39" s="256"/>
      <c r="AP39" s="256"/>
      <c r="AQ39" s="256"/>
      <c r="AR39" s="256"/>
    </row>
    <row r="40" spans="1:44" s="183" customFormat="1" ht="12.75" customHeight="1" x14ac:dyDescent="0.2">
      <c r="A40" s="174"/>
      <c r="B40" s="242" t="s">
        <v>89</v>
      </c>
      <c r="C40" s="243"/>
      <c r="D40" s="244"/>
      <c r="E40" s="176">
        <v>0</v>
      </c>
      <c r="F40" s="245">
        <f t="shared" si="45"/>
        <v>0</v>
      </c>
      <c r="G40" s="176">
        <v>0</v>
      </c>
      <c r="H40" s="180">
        <v>0</v>
      </c>
      <c r="I40" s="184">
        <f>IFERROR(FACTORS!$C$38*E40,"--")</f>
        <v>0</v>
      </c>
      <c r="J40" s="181">
        <f>IFERROR(FACTORS!$D$38*E40,"--")</f>
        <v>0</v>
      </c>
      <c r="K40" s="246">
        <f>IFERROR(FACTORS!$E$38*E40,"--")</f>
        <v>0</v>
      </c>
      <c r="L40" s="178">
        <f>IFERROR(FACTORS!$F$38*E40,"--")</f>
        <v>0</v>
      </c>
      <c r="M40" s="178">
        <f>IFERROR(FACTORS!$G$38*E40,"--")</f>
        <v>0</v>
      </c>
      <c r="N40" s="178">
        <f>IFERROR(FACTORS!$H$38*E40,"--")</f>
        <v>0</v>
      </c>
      <c r="O40" s="181" t="str">
        <f>IFERROR(FACTORS!$I$38*E40,"--")</f>
        <v>--</v>
      </c>
      <c r="P40" s="181">
        <f>IFERROR(FACTORS!$J$38*E40,"--")</f>
        <v>0</v>
      </c>
      <c r="Q40" s="191">
        <f>IFERROR(FACTORS!$K$38*E40,"--")</f>
        <v>0</v>
      </c>
      <c r="R40" s="184">
        <f>IFERROR((I40*$G40*$H40)/2000, "")</f>
        <v>0</v>
      </c>
      <c r="S40" s="181">
        <f t="shared" si="44"/>
        <v>0</v>
      </c>
      <c r="T40" s="246">
        <f t="shared" si="40"/>
        <v>0</v>
      </c>
      <c r="U40" s="246">
        <f t="shared" si="41"/>
        <v>0</v>
      </c>
      <c r="V40" s="246">
        <f>IFERROR((M40*$G40*$H40)/2000, "")</f>
        <v>0</v>
      </c>
      <c r="W40" s="246">
        <f t="shared" si="41"/>
        <v>0</v>
      </c>
      <c r="X40" s="246" t="str">
        <f t="shared" si="42"/>
        <v>--</v>
      </c>
      <c r="Y40" s="246">
        <f t="shared" si="43"/>
        <v>0</v>
      </c>
      <c r="Z40" s="182">
        <f t="shared" si="43"/>
        <v>0</v>
      </c>
      <c r="AA40" s="256"/>
      <c r="AB40" s="256"/>
      <c r="AC40" s="256"/>
      <c r="AD40" s="256"/>
      <c r="AE40" s="256"/>
      <c r="AF40" s="256"/>
      <c r="AG40" s="256"/>
      <c r="AH40" s="256"/>
      <c r="AI40" s="256"/>
      <c r="AJ40" s="256"/>
      <c r="AK40" s="256"/>
      <c r="AL40" s="256"/>
      <c r="AM40" s="256"/>
      <c r="AN40" s="256"/>
      <c r="AO40" s="256"/>
      <c r="AP40" s="256"/>
      <c r="AQ40" s="256"/>
      <c r="AR40" s="256"/>
    </row>
    <row r="41" spans="1:44" s="183" customFormat="1" ht="12.75" customHeight="1" x14ac:dyDescent="0.2">
      <c r="A41" s="174"/>
      <c r="B41" s="242" t="s">
        <v>103</v>
      </c>
      <c r="C41" s="243"/>
      <c r="D41" s="244"/>
      <c r="E41" s="176">
        <v>0</v>
      </c>
      <c r="F41" s="245">
        <f t="shared" si="45"/>
        <v>0</v>
      </c>
      <c r="G41" s="176">
        <v>0</v>
      </c>
      <c r="H41" s="180">
        <v>0</v>
      </c>
      <c r="I41" s="184">
        <f>IFERROR(FACTORS!$C$39*E41,"--")</f>
        <v>0</v>
      </c>
      <c r="J41" s="181">
        <f>IFERROR(FACTORS!$D$39*E41,"--")</f>
        <v>0</v>
      </c>
      <c r="K41" s="246">
        <f>IFERROR(FACTORS!$E$39*E41,"--")</f>
        <v>0</v>
      </c>
      <c r="L41" s="178">
        <f>IFERROR(FACTORS!$F$39*E41,"--")</f>
        <v>0</v>
      </c>
      <c r="M41" s="178">
        <f>IFERROR(FACTORS!$G$39*E41,"--")</f>
        <v>0</v>
      </c>
      <c r="N41" s="178">
        <f>IFERROR(FACTORS!$H$39*E41,"--")</f>
        <v>0</v>
      </c>
      <c r="O41" s="181" t="str">
        <f>IFERROR(FACTORS!$I$39*E41,"--")</f>
        <v>--</v>
      </c>
      <c r="P41" s="181">
        <f>IFERROR(FACTORS!$J$39*E41,"--")</f>
        <v>0</v>
      </c>
      <c r="Q41" s="191">
        <f>IFERROR(FACTORS!$K$39*E41,"--")</f>
        <v>0</v>
      </c>
      <c r="R41" s="184">
        <f t="shared" si="39"/>
        <v>0</v>
      </c>
      <c r="S41" s="181">
        <f t="shared" si="44"/>
        <v>0</v>
      </c>
      <c r="T41" s="246">
        <f t="shared" si="40"/>
        <v>0</v>
      </c>
      <c r="U41" s="246">
        <f t="shared" si="41"/>
        <v>0</v>
      </c>
      <c r="V41" s="246">
        <f t="shared" si="41"/>
        <v>0</v>
      </c>
      <c r="W41" s="246">
        <f t="shared" si="41"/>
        <v>0</v>
      </c>
      <c r="X41" s="246" t="str">
        <f t="shared" si="42"/>
        <v>--</v>
      </c>
      <c r="Y41" s="246">
        <f t="shared" si="43"/>
        <v>0</v>
      </c>
      <c r="Z41" s="182">
        <f t="shared" si="43"/>
        <v>0</v>
      </c>
      <c r="AA41" s="256"/>
      <c r="AB41" s="256"/>
      <c r="AC41" s="256"/>
      <c r="AD41" s="256"/>
      <c r="AE41" s="256"/>
      <c r="AF41" s="256"/>
      <c r="AG41" s="256"/>
      <c r="AH41" s="256"/>
      <c r="AI41" s="256"/>
      <c r="AJ41" s="256"/>
      <c r="AK41" s="256"/>
      <c r="AL41" s="256"/>
      <c r="AM41" s="256"/>
      <c r="AN41" s="256"/>
      <c r="AO41" s="256"/>
      <c r="AP41" s="256"/>
      <c r="AQ41" s="256"/>
      <c r="AR41" s="256"/>
    </row>
    <row r="42" spans="1:44" s="183" customFormat="1" ht="12.75" customHeight="1" x14ac:dyDescent="0.2">
      <c r="A42" s="174"/>
      <c r="B42" s="242" t="s">
        <v>91</v>
      </c>
      <c r="C42" s="243"/>
      <c r="D42" s="176">
        <v>0</v>
      </c>
      <c r="E42" s="74"/>
      <c r="F42" s="74"/>
      <c r="G42" s="179">
        <v>0</v>
      </c>
      <c r="H42" s="180">
        <v>0</v>
      </c>
      <c r="I42" s="184">
        <f>(FACTORS!$C$40*D42*2000)/24</f>
        <v>0</v>
      </c>
      <c r="J42" s="181">
        <f>(FACTORS!$D$40*D42*2000)/24</f>
        <v>0</v>
      </c>
      <c r="K42" s="246">
        <f>(FACTORS!$E$40*D42*2000)/24</f>
        <v>0</v>
      </c>
      <c r="L42" s="178">
        <f>(FACTORS!$F$40*D42*2000)/24</f>
        <v>0</v>
      </c>
      <c r="M42" s="178">
        <f>(FACTORS!$G$40*D42*2000)/24</f>
        <v>0</v>
      </c>
      <c r="N42" s="178">
        <f>(FACTORS!$H$40*D42*2000)/24</f>
        <v>0</v>
      </c>
      <c r="O42" s="181" t="str">
        <f>IFERROR((FACTORS!$I$40*D42*2000)/24,"--")</f>
        <v>--</v>
      </c>
      <c r="P42" s="181">
        <f>IFERROR((FACTORS!$J$40*D42*2000)/24,"--")</f>
        <v>0</v>
      </c>
      <c r="Q42" s="191" t="str">
        <f>IFERROR((FACTORS!$K$40*D42*2000)/24,"--")</f>
        <v>--</v>
      </c>
      <c r="R42" s="184">
        <f>IFERROR((I42*$G42*$H42)/2000, "")</f>
        <v>0</v>
      </c>
      <c r="S42" s="181">
        <f t="shared" si="44"/>
        <v>0</v>
      </c>
      <c r="T42" s="246">
        <f t="shared" si="40"/>
        <v>0</v>
      </c>
      <c r="U42" s="246">
        <f t="shared" si="41"/>
        <v>0</v>
      </c>
      <c r="V42" s="246">
        <f t="shared" si="41"/>
        <v>0</v>
      </c>
      <c r="W42" s="246">
        <f t="shared" si="41"/>
        <v>0</v>
      </c>
      <c r="X42" s="246" t="str">
        <f t="shared" si="42"/>
        <v>--</v>
      </c>
      <c r="Y42" s="246">
        <f t="shared" si="43"/>
        <v>0</v>
      </c>
      <c r="Z42" s="182" t="str">
        <f t="shared" si="43"/>
        <v/>
      </c>
      <c r="AA42" s="256"/>
      <c r="AB42" s="256"/>
      <c r="AC42" s="256"/>
      <c r="AD42" s="256"/>
      <c r="AE42" s="256"/>
      <c r="AF42" s="256"/>
      <c r="AG42" s="256"/>
      <c r="AH42" s="256"/>
      <c r="AI42" s="256"/>
      <c r="AJ42" s="256"/>
      <c r="AK42" s="256"/>
      <c r="AL42" s="256"/>
      <c r="AM42" s="256"/>
      <c r="AN42" s="256"/>
      <c r="AO42" s="256"/>
      <c r="AP42" s="256"/>
      <c r="AQ42" s="256"/>
      <c r="AR42" s="256"/>
    </row>
    <row r="43" spans="1:44" s="183" customFormat="1" ht="12.75" customHeight="1" x14ac:dyDescent="0.2">
      <c r="A43" s="174"/>
      <c r="B43" s="274" t="s">
        <v>133</v>
      </c>
      <c r="C43" s="242"/>
      <c r="D43" s="185">
        <v>0</v>
      </c>
      <c r="E43" s="74"/>
      <c r="F43" s="74"/>
      <c r="G43" s="185">
        <v>0</v>
      </c>
      <c r="H43" s="186">
        <v>0</v>
      </c>
      <c r="I43" s="187">
        <f>FACTORS!$C$42*D43/453.592</f>
        <v>0</v>
      </c>
      <c r="J43" s="192">
        <f>FACTORS!$D$42*D43/453.592</f>
        <v>0</v>
      </c>
      <c r="K43" s="189">
        <f>FACTORS!$E$42*D43/453.592</f>
        <v>0</v>
      </c>
      <c r="L43" s="192">
        <f>FACTORS!$F$42*D43/453.592</f>
        <v>0</v>
      </c>
      <c r="M43" s="192">
        <f>FACTORS!$G$42*D43/453.592</f>
        <v>0</v>
      </c>
      <c r="N43" s="188">
        <f>FACTORS!$H$42*D43/453.592</f>
        <v>0</v>
      </c>
      <c r="O43" s="192">
        <f>IFERROR(FACTORS!$I$42*D43/453.592, "--")</f>
        <v>0</v>
      </c>
      <c r="P43" s="192">
        <f>FACTORS!$J$42*D43/453.592</f>
        <v>0</v>
      </c>
      <c r="Q43" s="193">
        <f>FACTORS!$K$42*D43/453.592</f>
        <v>0</v>
      </c>
      <c r="R43" s="187">
        <f>IFERROR((I43*$G43*$H43)/2000, "")</f>
        <v>0</v>
      </c>
      <c r="S43" s="192">
        <f>IFERROR((J43*$G43*$H43)/2000, "")</f>
        <v>0</v>
      </c>
      <c r="T43" s="189">
        <f>IFERROR((K43*$G43*$H43)/2000, "")</f>
        <v>0</v>
      </c>
      <c r="U43" s="189">
        <f t="shared" si="41"/>
        <v>0</v>
      </c>
      <c r="V43" s="189">
        <f t="shared" si="41"/>
        <v>0</v>
      </c>
      <c r="W43" s="189">
        <f t="shared" si="41"/>
        <v>0</v>
      </c>
      <c r="X43" s="189">
        <f t="shared" si="42"/>
        <v>0</v>
      </c>
      <c r="Y43" s="189">
        <f t="shared" si="43"/>
        <v>0</v>
      </c>
      <c r="Z43" s="190">
        <f t="shared" si="43"/>
        <v>0</v>
      </c>
      <c r="AA43" s="256"/>
      <c r="AB43" s="256"/>
      <c r="AC43" s="256"/>
      <c r="AD43" s="256"/>
      <c r="AE43" s="256"/>
      <c r="AF43" s="256"/>
      <c r="AG43" s="256"/>
      <c r="AH43" s="256"/>
      <c r="AI43" s="256"/>
      <c r="AJ43" s="256"/>
      <c r="AK43" s="256"/>
      <c r="AL43" s="256"/>
      <c r="AM43" s="256"/>
      <c r="AN43" s="256"/>
      <c r="AO43" s="256"/>
      <c r="AP43" s="256"/>
      <c r="AQ43" s="256"/>
      <c r="AR43" s="256"/>
    </row>
    <row r="44" spans="1:44" s="247" customFormat="1" ht="12.75" customHeight="1" x14ac:dyDescent="0.2">
      <c r="A44" s="286">
        <f>A23</f>
        <v>2020</v>
      </c>
      <c r="B44" s="287" t="s">
        <v>124</v>
      </c>
      <c r="C44" s="431"/>
      <c r="D44" s="281"/>
      <c r="E44" s="281"/>
      <c r="F44" s="282"/>
      <c r="G44" s="281"/>
      <c r="H44" s="283"/>
      <c r="I44" s="380">
        <f t="shared" ref="I44:Z44" si="46">SUM(I26:I43)</f>
        <v>0</v>
      </c>
      <c r="J44" s="428">
        <f t="shared" si="46"/>
        <v>0</v>
      </c>
      <c r="K44" s="429">
        <f t="shared" si="46"/>
        <v>0</v>
      </c>
      <c r="L44" s="284">
        <f t="shared" si="46"/>
        <v>0</v>
      </c>
      <c r="M44" s="284">
        <f t="shared" si="46"/>
        <v>0</v>
      </c>
      <c r="N44" s="284">
        <f t="shared" si="46"/>
        <v>0</v>
      </c>
      <c r="O44" s="284">
        <f t="shared" si="46"/>
        <v>0</v>
      </c>
      <c r="P44" s="284">
        <f t="shared" si="46"/>
        <v>0</v>
      </c>
      <c r="Q44" s="290">
        <f t="shared" si="46"/>
        <v>0</v>
      </c>
      <c r="R44" s="383">
        <f t="shared" si="46"/>
        <v>0</v>
      </c>
      <c r="S44" s="291">
        <f t="shared" si="46"/>
        <v>0</v>
      </c>
      <c r="T44" s="430">
        <f t="shared" si="46"/>
        <v>0</v>
      </c>
      <c r="U44" s="291">
        <f t="shared" si="46"/>
        <v>0</v>
      </c>
      <c r="V44" s="291">
        <f t="shared" si="46"/>
        <v>0</v>
      </c>
      <c r="W44" s="291">
        <f t="shared" si="46"/>
        <v>0</v>
      </c>
      <c r="X44" s="291">
        <f t="shared" si="46"/>
        <v>0</v>
      </c>
      <c r="Y44" s="291">
        <f t="shared" si="46"/>
        <v>0</v>
      </c>
      <c r="Z44" s="292">
        <f t="shared" si="46"/>
        <v>0</v>
      </c>
      <c r="AA44" s="256"/>
      <c r="AB44" s="256"/>
      <c r="AC44" s="256"/>
      <c r="AD44" s="256"/>
      <c r="AE44" s="256"/>
      <c r="AF44" s="256"/>
      <c r="AG44" s="256"/>
      <c r="AH44" s="256"/>
      <c r="AI44" s="256"/>
      <c r="AJ44" s="256"/>
      <c r="AK44" s="256"/>
      <c r="AL44" s="256"/>
      <c r="AM44" s="256"/>
      <c r="AN44" s="256"/>
      <c r="AO44" s="256"/>
      <c r="AP44" s="256"/>
      <c r="AQ44" s="256"/>
      <c r="AR44" s="256"/>
    </row>
    <row r="45" spans="1:44" ht="12.75" customHeight="1" x14ac:dyDescent="0.2">
      <c r="A45" s="77"/>
      <c r="B45" s="13"/>
      <c r="C45" s="13"/>
    </row>
    <row r="46" spans="1:44" ht="12.75" customHeight="1" x14ac:dyDescent="0.2">
      <c r="A46" s="77"/>
      <c r="B46" s="13"/>
      <c r="C46" s="13"/>
    </row>
    <row r="47" spans="1:44" ht="12.75" customHeight="1" x14ac:dyDescent="0.2">
      <c r="A47" s="77"/>
      <c r="B47" s="13"/>
      <c r="C47" s="13"/>
    </row>
    <row r="48" spans="1:44" ht="12.75" customHeight="1" x14ac:dyDescent="0.2">
      <c r="A48" s="2"/>
      <c r="B48" s="2"/>
      <c r="C48" s="2"/>
      <c r="D48" s="2"/>
      <c r="E48" s="2"/>
      <c r="F48" s="2"/>
      <c r="G48" s="2"/>
      <c r="H48" s="2"/>
      <c r="I48" s="2"/>
      <c r="J48" s="2"/>
      <c r="K48" s="2"/>
      <c r="L48" s="2"/>
      <c r="M48" s="2"/>
      <c r="N48" s="2"/>
      <c r="O48" s="2"/>
      <c r="P48" s="2"/>
      <c r="Q48" s="2"/>
      <c r="R48" s="2"/>
      <c r="S48" s="2"/>
      <c r="T48" s="2"/>
      <c r="U48" s="2"/>
      <c r="V48" s="2"/>
      <c r="W48" s="2"/>
      <c r="X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0"/>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16"/>
      <c r="Z52" s="20"/>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16"/>
      <c r="Z53" s="20"/>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16"/>
      <c r="Z54" s="19"/>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17"/>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13"/>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13"/>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13"/>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13"/>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13"/>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13"/>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13"/>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13"/>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13"/>
    </row>
    <row r="65" spans="1:25"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13"/>
    </row>
    <row r="66" spans="1:25"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13"/>
    </row>
    <row r="67" spans="1:25"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13"/>
    </row>
    <row r="68" spans="1:25"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13"/>
    </row>
    <row r="69" spans="1:25"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13"/>
    </row>
    <row r="70" spans="1:25"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13"/>
    </row>
    <row r="71" spans="1:25"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13"/>
    </row>
    <row r="72" spans="1:25"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18"/>
    </row>
    <row r="73" spans="1:25"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18"/>
    </row>
    <row r="74" spans="1:25"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18"/>
    </row>
    <row r="75" spans="1:25"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18"/>
    </row>
    <row r="76" spans="1:25"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13"/>
    </row>
    <row r="77" spans="1:25"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13"/>
    </row>
    <row r="78" spans="1:25"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13"/>
    </row>
    <row r="79" spans="1:25"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13"/>
    </row>
    <row r="80" spans="1:25"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13"/>
    </row>
    <row r="81" spans="1:25"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3"/>
    </row>
    <row r="82" spans="1:25"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row>
    <row r="83" spans="1:25"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row>
    <row r="84" spans="1:25"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row>
    <row r="85" spans="1:25"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row>
    <row r="86" spans="1:25"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row>
    <row r="87" spans="1:25"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row>
    <row r="88" spans="1:25"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row>
    <row r="89" spans="1:25"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row>
    <row r="90" spans="1:25"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row>
    <row r="91" spans="1:25"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row>
    <row r="92" spans="1:25"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row>
    <row r="93" spans="1:25"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row>
    <row r="94" spans="1:25"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row>
    <row r="95" spans="1:25"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row>
    <row r="96" spans="1:25"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18"/>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13"/>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13"/>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13"/>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13"/>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13"/>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13"/>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13"/>
    </row>
    <row r="128" spans="1:25" ht="12.75" customHeight="1" x14ac:dyDescent="0.2">
      <c r="Y128" s="13"/>
    </row>
    <row r="129" spans="25:26" ht="12.75" customHeight="1" x14ac:dyDescent="0.2">
      <c r="Y129" s="18"/>
      <c r="Z129" s="19"/>
    </row>
    <row r="130" spans="25:26" ht="12.75" customHeight="1" x14ac:dyDescent="0.2">
      <c r="Y130" s="21"/>
    </row>
    <row r="131" spans="25:26" ht="12.75" customHeight="1" x14ac:dyDescent="0.2">
      <c r="Y131" s="18"/>
    </row>
    <row r="132" spans="25:26" ht="12.75" customHeight="1" x14ac:dyDescent="0.2">
      <c r="Y132" s="13"/>
      <c r="Z132" s="19"/>
    </row>
    <row r="133" spans="25:26" ht="12.75" customHeight="1" x14ac:dyDescent="0.2">
      <c r="Y133" s="22"/>
    </row>
    <row r="141" spans="25:26" ht="12.75" customHeight="1" x14ac:dyDescent="0.2">
      <c r="Z141" s="20"/>
    </row>
    <row r="142" spans="25:26" ht="12.75" customHeight="1" x14ac:dyDescent="0.2">
      <c r="Y142" s="16"/>
      <c r="Z142" s="20"/>
    </row>
    <row r="143" spans="25:26" ht="12.75" customHeight="1" x14ac:dyDescent="0.2">
      <c r="Y143" s="16"/>
      <c r="Z143" s="20"/>
    </row>
    <row r="144" spans="25:26" ht="12.75" customHeight="1" x14ac:dyDescent="0.2">
      <c r="Y144" s="16"/>
      <c r="Z144" s="19"/>
    </row>
    <row r="145" spans="25:25" ht="12.75" customHeight="1" x14ac:dyDescent="0.2">
      <c r="Y145" s="17"/>
    </row>
    <row r="146" spans="25:25" ht="12.75" customHeight="1" x14ac:dyDescent="0.2">
      <c r="Y146" s="13"/>
    </row>
    <row r="147" spans="25:25" ht="12.75" customHeight="1" x14ac:dyDescent="0.2">
      <c r="Y147" s="13"/>
    </row>
    <row r="148" spans="25:25" ht="12.75" customHeight="1" x14ac:dyDescent="0.2">
      <c r="Y148" s="13"/>
    </row>
    <row r="149" spans="25:25" ht="12.75" customHeight="1" x14ac:dyDescent="0.2">
      <c r="Y149" s="13"/>
    </row>
    <row r="150" spans="25:25" ht="12.75" customHeight="1" x14ac:dyDescent="0.2">
      <c r="Y150" s="13"/>
    </row>
    <row r="151" spans="25:25" ht="12.75" customHeight="1" x14ac:dyDescent="0.2">
      <c r="Y151" s="13"/>
    </row>
    <row r="152" spans="25:25" ht="12.75" customHeight="1" x14ac:dyDescent="0.2">
      <c r="Y152" s="13"/>
    </row>
    <row r="153" spans="25:25" ht="12.75" customHeight="1" x14ac:dyDescent="0.2">
      <c r="Y153" s="13"/>
    </row>
    <row r="154" spans="25:25" ht="12.75" customHeight="1" x14ac:dyDescent="0.2">
      <c r="Y154" s="13"/>
    </row>
    <row r="155" spans="25:25" ht="12.75" customHeight="1" x14ac:dyDescent="0.2">
      <c r="Y155" s="13"/>
    </row>
    <row r="156" spans="25:25" ht="12.75" customHeight="1" x14ac:dyDescent="0.2">
      <c r="Y156" s="13"/>
    </row>
    <row r="157" spans="25:25" ht="12.75" customHeight="1" x14ac:dyDescent="0.2">
      <c r="Y157" s="13"/>
    </row>
    <row r="158" spans="25:25" ht="12.75" customHeight="1" x14ac:dyDescent="0.2">
      <c r="Y158" s="13"/>
    </row>
    <row r="159" spans="25:25" ht="12.75" customHeight="1" x14ac:dyDescent="0.2">
      <c r="Y159" s="13"/>
    </row>
    <row r="160" spans="25:25" ht="12.75" customHeight="1" x14ac:dyDescent="0.2">
      <c r="Y160" s="13"/>
    </row>
    <row r="161" spans="25:26" ht="12.75" customHeight="1" x14ac:dyDescent="0.2">
      <c r="Y161" s="13"/>
    </row>
    <row r="162" spans="25:26" ht="12.75" customHeight="1" x14ac:dyDescent="0.2">
      <c r="Y162" s="18"/>
    </row>
    <row r="163" spans="25:26" ht="12.75" customHeight="1" x14ac:dyDescent="0.2">
      <c r="Y163" s="18"/>
    </row>
    <row r="164" spans="25:26" ht="12.75" customHeight="1" x14ac:dyDescent="0.2">
      <c r="Y164" s="18"/>
    </row>
    <row r="165" spans="25:26" ht="12.75" customHeight="1" x14ac:dyDescent="0.2">
      <c r="Y165" s="18"/>
    </row>
    <row r="166" spans="25:26" ht="12.75" customHeight="1" x14ac:dyDescent="0.2">
      <c r="Y166" s="13"/>
    </row>
    <row r="167" spans="25:26" ht="12.75" customHeight="1" x14ac:dyDescent="0.2">
      <c r="Y167" s="13"/>
    </row>
    <row r="168" spans="25:26" ht="12.75" customHeight="1" x14ac:dyDescent="0.2">
      <c r="Y168" s="13"/>
    </row>
    <row r="169" spans="25:26" ht="12.75" customHeight="1" x14ac:dyDescent="0.2">
      <c r="Y169" s="13"/>
    </row>
    <row r="170" spans="25:26" ht="12.75" customHeight="1" x14ac:dyDescent="0.2">
      <c r="Y170" s="13"/>
    </row>
    <row r="171" spans="25:26" ht="12.75" customHeight="1" x14ac:dyDescent="0.2">
      <c r="Y171" s="13"/>
    </row>
    <row r="172" spans="25:26" ht="12.75" customHeight="1" x14ac:dyDescent="0.2">
      <c r="Y172" s="13"/>
    </row>
    <row r="173" spans="25:26" ht="12.75" customHeight="1" x14ac:dyDescent="0.2">
      <c r="Y173" s="13"/>
    </row>
    <row r="174" spans="25:26" ht="12.75" customHeight="1" x14ac:dyDescent="0.2">
      <c r="Y174" s="18"/>
      <c r="Z174" s="19"/>
    </row>
    <row r="175" spans="25:26" ht="12.75" customHeight="1" x14ac:dyDescent="0.2">
      <c r="Y175" s="21"/>
    </row>
    <row r="176" spans="25:26" ht="12.75" customHeight="1" x14ac:dyDescent="0.2">
      <c r="Y176" s="18"/>
    </row>
    <row r="177" spans="25:26" ht="12.75" customHeight="1" x14ac:dyDescent="0.2">
      <c r="Y177" s="13"/>
      <c r="Z177" s="19"/>
    </row>
    <row r="178" spans="25:26" ht="12.75" customHeight="1" x14ac:dyDescent="0.2">
      <c r="Y178" s="22"/>
    </row>
  </sheetData>
  <mergeCells count="3">
    <mergeCell ref="P2:Z2"/>
    <mergeCell ref="L2:M2"/>
    <mergeCell ref="N2:O2"/>
  </mergeCells>
  <phoneticPr fontId="0" type="noConversion"/>
  <printOptions horizontalCentered="1"/>
  <pageMargins left="0.25" right="0.25" top="1" bottom="0.5" header="0.5" footer="0.5"/>
  <pageSetup paperSize="5" scale="19" orientation="portrait" horizontalDpi="300" verticalDpi="300" r:id="rId1"/>
  <headerFooter alignWithMargins="0">
    <oddHeader>&amp;C&amp;"Helvetica,Bold"AIR EMISSIONS CALCULATIONS - 1ST YEAR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9CD3D-34BB-4B7A-969C-C9462B580CBF}">
  <sheetPr codeName="Sheet5">
    <pageSetUpPr fitToPage="1"/>
  </sheetPr>
  <dimension ref="A1:AR178"/>
  <sheetViews>
    <sheetView view="pageLayout" topLeftCell="A2" zoomScale="70" zoomScaleNormal="100" zoomScalePageLayoutView="70" workbookViewId="0">
      <selection activeCell="D15" sqref="D15"/>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56"/>
    <col min="45" max="16384" width="9.7109375" style="2"/>
  </cols>
  <sheetData>
    <row r="1" spans="1:44" ht="12.75" customHeight="1" thickBot="1" x14ac:dyDescent="0.25">
      <c r="A1" s="23" t="s">
        <v>1</v>
      </c>
      <c r="B1" s="23" t="s">
        <v>2</v>
      </c>
      <c r="C1" s="23"/>
      <c r="D1" s="23" t="s">
        <v>3</v>
      </c>
      <c r="E1" s="23" t="s">
        <v>5</v>
      </c>
      <c r="F1" s="24" t="s">
        <v>63</v>
      </c>
      <c r="G1" s="23" t="s">
        <v>7</v>
      </c>
      <c r="H1" s="25"/>
      <c r="I1" s="26"/>
      <c r="J1" s="26"/>
      <c r="K1" s="26"/>
      <c r="L1" s="27" t="s">
        <v>81</v>
      </c>
      <c r="M1" s="28" t="s">
        <v>0</v>
      </c>
      <c r="N1" s="26" t="s">
        <v>42</v>
      </c>
      <c r="O1" s="29"/>
      <c r="P1" s="29" t="s">
        <v>11</v>
      </c>
      <c r="Q1" s="29"/>
      <c r="R1" s="30"/>
      <c r="S1" s="30"/>
      <c r="T1" s="30"/>
      <c r="U1" s="30"/>
      <c r="V1" s="30"/>
      <c r="W1" s="30"/>
      <c r="X1" s="30"/>
      <c r="Y1" s="30"/>
      <c r="Z1" s="101"/>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373"/>
      <c r="K2" s="373"/>
      <c r="L2" s="473" t="str">
        <f>TITLE!$C$7</f>
        <v xml:space="preserve">  </v>
      </c>
      <c r="M2" s="476"/>
      <c r="N2" s="473" t="str">
        <f>TITLE!$C$8</f>
        <v xml:space="preserve"> </v>
      </c>
      <c r="O2" s="476"/>
      <c r="P2" s="473" t="str">
        <f>TITLE!C9</f>
        <v xml:space="preserve"> </v>
      </c>
      <c r="Q2" s="474"/>
      <c r="R2" s="474"/>
      <c r="S2" s="474"/>
      <c r="T2" s="474"/>
      <c r="U2" s="474"/>
      <c r="V2" s="474"/>
      <c r="W2" s="474"/>
      <c r="X2" s="474"/>
      <c r="Y2" s="474"/>
      <c r="Z2" s="475"/>
    </row>
    <row r="3" spans="1:44" ht="12.75" customHeight="1" thickTop="1" x14ac:dyDescent="0.2">
      <c r="A3" s="33" t="s">
        <v>43</v>
      </c>
      <c r="B3" s="34" t="s">
        <v>44</v>
      </c>
      <c r="C3" s="34" t="s">
        <v>101</v>
      </c>
      <c r="D3" s="34" t="s">
        <v>45</v>
      </c>
      <c r="E3" s="34" t="s">
        <v>46</v>
      </c>
      <c r="F3" s="35" t="s">
        <v>47</v>
      </c>
      <c r="G3" s="36" t="s">
        <v>48</v>
      </c>
      <c r="H3" s="37"/>
      <c r="I3" s="38"/>
      <c r="J3" s="38"/>
      <c r="K3" s="38"/>
      <c r="L3" s="38"/>
      <c r="M3" s="38" t="s">
        <v>49</v>
      </c>
      <c r="N3" s="38"/>
      <c r="O3" s="38"/>
      <c r="P3" s="38"/>
      <c r="Q3" s="39"/>
      <c r="R3" s="40"/>
      <c r="S3" s="40"/>
      <c r="T3" s="40"/>
      <c r="U3" s="40"/>
      <c r="V3" s="38" t="s">
        <v>50</v>
      </c>
      <c r="W3" s="40"/>
      <c r="X3" s="40"/>
      <c r="Y3" s="40"/>
      <c r="Z3" s="100"/>
    </row>
    <row r="4" spans="1:44" ht="12.75" customHeight="1" x14ac:dyDescent="0.2">
      <c r="A4" s="41"/>
      <c r="B4" s="42" t="s">
        <v>51</v>
      </c>
      <c r="C4" s="42"/>
      <c r="D4" s="42" t="s">
        <v>52</v>
      </c>
      <c r="E4" s="42" t="s">
        <v>53</v>
      </c>
      <c r="F4" s="43" t="s">
        <v>54</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77" t="s">
        <v>55</v>
      </c>
      <c r="C5" s="277"/>
      <c r="D5" s="50" t="s">
        <v>52</v>
      </c>
      <c r="E5" s="50" t="s">
        <v>56</v>
      </c>
      <c r="F5" s="51" t="s">
        <v>57</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78" t="s">
        <v>58</v>
      </c>
      <c r="C6" s="278"/>
      <c r="D6" s="168" t="s">
        <v>59</v>
      </c>
      <c r="E6" s="42" t="s">
        <v>56</v>
      </c>
      <c r="F6" s="43" t="s">
        <v>57</v>
      </c>
      <c r="G6" s="169" t="s">
        <v>60</v>
      </c>
      <c r="H6" s="170" t="s">
        <v>71</v>
      </c>
      <c r="I6" s="396" t="s">
        <v>199</v>
      </c>
      <c r="J6" s="397" t="s">
        <v>197</v>
      </c>
      <c r="K6" s="398" t="s">
        <v>198</v>
      </c>
      <c r="L6" s="399" t="s">
        <v>23</v>
      </c>
      <c r="M6" s="399" t="s">
        <v>24</v>
      </c>
      <c r="N6" s="399" t="s">
        <v>25</v>
      </c>
      <c r="O6" s="397" t="s">
        <v>72</v>
      </c>
      <c r="P6" s="397" t="s">
        <v>26</v>
      </c>
      <c r="Q6" s="400" t="s">
        <v>80</v>
      </c>
      <c r="R6" s="401" t="s">
        <v>199</v>
      </c>
      <c r="S6" s="402" t="s">
        <v>197</v>
      </c>
      <c r="T6" s="403" t="s">
        <v>198</v>
      </c>
      <c r="U6" s="403" t="s">
        <v>23</v>
      </c>
      <c r="V6" s="171" t="s">
        <v>24</v>
      </c>
      <c r="W6" s="171" t="s">
        <v>25</v>
      </c>
      <c r="X6" s="46" t="s">
        <v>72</v>
      </c>
      <c r="Y6" s="46" t="s">
        <v>26</v>
      </c>
      <c r="Z6" s="172" t="s">
        <v>80</v>
      </c>
    </row>
    <row r="7" spans="1:44" s="173" customFormat="1" ht="12.75" customHeight="1" thickTop="1" x14ac:dyDescent="0.2">
      <c r="A7" s="194" t="s">
        <v>61</v>
      </c>
      <c r="B7" s="279" t="s">
        <v>165</v>
      </c>
      <c r="C7" s="293"/>
      <c r="D7" s="195">
        <v>0</v>
      </c>
      <c r="E7" s="196">
        <f>FACTORS!$I$2*D7</f>
        <v>0</v>
      </c>
      <c r="F7" s="197">
        <f>E7*24</f>
        <v>0</v>
      </c>
      <c r="G7" s="198">
        <v>0</v>
      </c>
      <c r="H7" s="199">
        <v>0</v>
      </c>
      <c r="I7" s="377">
        <f>FACTORS!$C$17*D7/453.592</f>
        <v>0</v>
      </c>
      <c r="J7" s="404">
        <f>FACTORS!$D$17*D7/453.592</f>
        <v>0</v>
      </c>
      <c r="K7" s="405">
        <f>FACTORS!$E$17*D7/453.592</f>
        <v>0</v>
      </c>
      <c r="L7" s="202">
        <f>FACTORS!$F$17*D7/453.592</f>
        <v>0</v>
      </c>
      <c r="M7" s="202">
        <f>FACTORS!$G$17*D7/453.592</f>
        <v>0</v>
      </c>
      <c r="N7" s="201">
        <f>FACTORS!$H$17*D7/453.592</f>
        <v>0</v>
      </c>
      <c r="O7" s="203">
        <f>FACTORS!$I$17*D7/453.592</f>
        <v>0</v>
      </c>
      <c r="P7" s="203">
        <f>FACTORS!$J$17*D7/453.592</f>
        <v>0</v>
      </c>
      <c r="Q7" s="204">
        <f>IFERROR(FACTORS!$K$17*D7/453.592,"--")</f>
        <v>0</v>
      </c>
      <c r="R7" s="381">
        <f>IF(I7=0,0,I7*($F7/($E7*24))*$G7*$H7/2000)</f>
        <v>0</v>
      </c>
      <c r="S7" s="203">
        <f t="shared" ref="S7:T10" si="0">IF(J7=0,0,J7*($F7/($E7*24))*$G7*$H7/2000)</f>
        <v>0</v>
      </c>
      <c r="T7" s="203">
        <f>IF(K7=0,0,K7*($F7/($E7*24))*$G7*$H7/2000)</f>
        <v>0</v>
      </c>
      <c r="U7" s="203">
        <f t="shared" ref="U7:W10" si="1">IF(L7=0,0,L7*($F7/($E7*24))*$G7*$H7/2000)</f>
        <v>0</v>
      </c>
      <c r="V7" s="203">
        <f t="shared" si="1"/>
        <v>0</v>
      </c>
      <c r="W7" s="203">
        <f t="shared" si="1"/>
        <v>0</v>
      </c>
      <c r="X7" s="203">
        <f>IFERROR(IF(O7=0,0,O7*($F7/($E7*24))*$G7*$H7/2000),"--")</f>
        <v>0</v>
      </c>
      <c r="Y7" s="203">
        <f>IF(P7=0,0,P7*($F7/($E7*24))*$G7*$H7/2000)</f>
        <v>0</v>
      </c>
      <c r="Z7" s="205">
        <f>IFERROR(IF(Q7=0,0,Q7*($F7/($E7*24))*$G7*$H7/2000),"--")</f>
        <v>0</v>
      </c>
      <c r="AA7" s="262"/>
      <c r="AB7" s="262"/>
      <c r="AC7" s="262"/>
      <c r="AD7" s="262"/>
      <c r="AE7" s="262"/>
      <c r="AF7" s="262"/>
      <c r="AG7" s="262"/>
      <c r="AH7" s="262"/>
      <c r="AI7" s="262"/>
      <c r="AJ7" s="262"/>
      <c r="AK7" s="262"/>
      <c r="AL7" s="262"/>
      <c r="AM7" s="262"/>
      <c r="AN7" s="262"/>
      <c r="AO7" s="262"/>
      <c r="AP7" s="262"/>
      <c r="AQ7" s="262"/>
      <c r="AR7" s="262"/>
    </row>
    <row r="8" spans="1:44" s="183" customFormat="1" ht="12.75" customHeight="1" x14ac:dyDescent="0.2">
      <c r="A8" s="206"/>
      <c r="B8" s="238" t="s">
        <v>165</v>
      </c>
      <c r="C8" s="294"/>
      <c r="D8" s="208">
        <v>0</v>
      </c>
      <c r="E8" s="209">
        <f>FACTORS!$I$2*D8</f>
        <v>0</v>
      </c>
      <c r="F8" s="201">
        <f>E8*24</f>
        <v>0</v>
      </c>
      <c r="G8" s="210">
        <v>0</v>
      </c>
      <c r="H8" s="211">
        <v>0</v>
      </c>
      <c r="I8" s="222">
        <f>FACTORS!$C$17*D8/453.592</f>
        <v>0</v>
      </c>
      <c r="J8" s="404">
        <f>FACTORS!$D$17*D8/453.592</f>
        <v>0</v>
      </c>
      <c r="K8" s="405">
        <f>FACTORS!$E$17*D8/453.592</f>
        <v>0</v>
      </c>
      <c r="L8" s="202">
        <f>FACTORS!$F$17*D8/453.592</f>
        <v>0</v>
      </c>
      <c r="M8" s="202">
        <f>FACTORS!$G$17*D8/453.592</f>
        <v>0</v>
      </c>
      <c r="N8" s="201">
        <f>FACTORS!$H$17*D8/453.592</f>
        <v>0</v>
      </c>
      <c r="O8" s="202">
        <f>FACTORS!$I$17*D8/453.592</f>
        <v>0</v>
      </c>
      <c r="P8" s="202">
        <f>FACTORS!$J$17*D8/453.592</f>
        <v>0</v>
      </c>
      <c r="Q8" s="204">
        <f>IFERROR(FACTORS!$K$17*D8/453.592,"--")</f>
        <v>0</v>
      </c>
      <c r="R8" s="200">
        <f>IF(I8=0,0,I8*($F8/($E8*24))*$G8*$H8/2000)</f>
        <v>0</v>
      </c>
      <c r="S8" s="202">
        <f t="shared" si="0"/>
        <v>0</v>
      </c>
      <c r="T8" s="202">
        <f t="shared" si="0"/>
        <v>0</v>
      </c>
      <c r="U8" s="202">
        <f t="shared" si="1"/>
        <v>0</v>
      </c>
      <c r="V8" s="202">
        <f t="shared" si="1"/>
        <v>0</v>
      </c>
      <c r="W8" s="202">
        <f t="shared" si="1"/>
        <v>0</v>
      </c>
      <c r="X8" s="202">
        <f>IFERROR(IF(O8=0,0,O8*($F8/($E8*24))*$G8*$H8/2000),"--")</f>
        <v>0</v>
      </c>
      <c r="Y8" s="202">
        <f>IF(P8=0,0,P8*($F8/($E8*24))*$G8*$H8/2000)</f>
        <v>0</v>
      </c>
      <c r="Z8" s="213">
        <f>IFERROR(IF(Q8=0,0,Q8*($F8/($E8*24))*$G8*$H8/2000),"--")</f>
        <v>0</v>
      </c>
      <c r="AA8" s="256"/>
      <c r="AB8" s="256"/>
      <c r="AC8" s="256"/>
      <c r="AD8" s="256"/>
      <c r="AE8" s="256"/>
      <c r="AF8" s="256"/>
      <c r="AG8" s="256"/>
      <c r="AH8" s="256"/>
      <c r="AI8" s="256"/>
      <c r="AJ8" s="256"/>
      <c r="AK8" s="256"/>
      <c r="AL8" s="256"/>
      <c r="AM8" s="256"/>
      <c r="AN8" s="256"/>
      <c r="AO8" s="256"/>
      <c r="AP8" s="256"/>
      <c r="AQ8" s="256"/>
      <c r="AR8" s="256"/>
    </row>
    <row r="9" spans="1:44" s="183" customFormat="1" ht="12.75" customHeight="1" x14ac:dyDescent="0.2">
      <c r="A9" s="206"/>
      <c r="B9" s="238" t="s">
        <v>165</v>
      </c>
      <c r="C9" s="294"/>
      <c r="D9" s="208">
        <v>0</v>
      </c>
      <c r="E9" s="209">
        <f>FACTORS!$I$2*D9</f>
        <v>0</v>
      </c>
      <c r="F9" s="201">
        <f>E9*24</f>
        <v>0</v>
      </c>
      <c r="G9" s="210">
        <v>0</v>
      </c>
      <c r="H9" s="211">
        <v>0</v>
      </c>
      <c r="I9" s="222">
        <f>FACTORS!$C$17*D9/453.592</f>
        <v>0</v>
      </c>
      <c r="J9" s="404">
        <f>FACTORS!$D$17*D9/453.592</f>
        <v>0</v>
      </c>
      <c r="K9" s="405">
        <f>FACTORS!$E$17*D9/453.592</f>
        <v>0</v>
      </c>
      <c r="L9" s="202">
        <f>FACTORS!$F$17*D9/453.592</f>
        <v>0</v>
      </c>
      <c r="M9" s="202">
        <f>FACTORS!$G$17*D9/453.592</f>
        <v>0</v>
      </c>
      <c r="N9" s="201">
        <f>FACTORS!$H$17*D9/453.592</f>
        <v>0</v>
      </c>
      <c r="O9" s="202">
        <f>FACTORS!$I$17*D9/453.592</f>
        <v>0</v>
      </c>
      <c r="P9" s="202">
        <f>FACTORS!$J$17*D9/453.592</f>
        <v>0</v>
      </c>
      <c r="Q9" s="204">
        <f>IFERROR(FACTORS!$K$17*D9/453.592,"--")</f>
        <v>0</v>
      </c>
      <c r="R9" s="200">
        <f>IF(I9=0,0,I9*($F9/($E9*24))*$G9*$H9/2000)</f>
        <v>0</v>
      </c>
      <c r="S9" s="202">
        <f t="shared" si="0"/>
        <v>0</v>
      </c>
      <c r="T9" s="202">
        <f t="shared" si="0"/>
        <v>0</v>
      </c>
      <c r="U9" s="202">
        <f t="shared" si="1"/>
        <v>0</v>
      </c>
      <c r="V9" s="202">
        <f t="shared" si="1"/>
        <v>0</v>
      </c>
      <c r="W9" s="202">
        <f t="shared" si="1"/>
        <v>0</v>
      </c>
      <c r="X9" s="202">
        <f>IFERROR(IF(O9=0,0,O9*($F9/($E9*24))*$G9*$H9/2000),"--")</f>
        <v>0</v>
      </c>
      <c r="Y9" s="202">
        <f>IF(P9=0,0,P9*($F9/($E9*24))*$G9*$H9/2000)</f>
        <v>0</v>
      </c>
      <c r="Z9" s="213">
        <f>IFERROR(IF(Q9=0,0,Q9*($F9/($E9*24))*$G9*$H9/2000),"--")</f>
        <v>0</v>
      </c>
      <c r="AA9" s="256"/>
      <c r="AB9" s="256"/>
      <c r="AC9" s="256"/>
      <c r="AD9" s="256"/>
      <c r="AE9" s="256"/>
      <c r="AF9" s="256"/>
      <c r="AG9" s="256"/>
      <c r="AH9" s="256"/>
      <c r="AI9" s="256"/>
      <c r="AJ9" s="256"/>
      <c r="AK9" s="256"/>
      <c r="AL9" s="256"/>
      <c r="AM9" s="256"/>
      <c r="AN9" s="256"/>
      <c r="AO9" s="256"/>
      <c r="AP9" s="256"/>
      <c r="AQ9" s="256"/>
      <c r="AR9" s="256"/>
    </row>
    <row r="10" spans="1:44" s="183" customFormat="1" ht="12.75" customHeight="1" x14ac:dyDescent="0.2">
      <c r="A10" s="206"/>
      <c r="B10" s="238" t="s">
        <v>165</v>
      </c>
      <c r="C10" s="294"/>
      <c r="D10" s="208">
        <v>0</v>
      </c>
      <c r="E10" s="209">
        <f>FACTORS!$I$2*D10</f>
        <v>0</v>
      </c>
      <c r="F10" s="201">
        <f>E10*24</f>
        <v>0</v>
      </c>
      <c r="G10" s="210">
        <v>0</v>
      </c>
      <c r="H10" s="211">
        <v>0</v>
      </c>
      <c r="I10" s="222">
        <f>FACTORS!$C$17*D10/453.592</f>
        <v>0</v>
      </c>
      <c r="J10" s="404">
        <f>FACTORS!$D$17*D10/453.592</f>
        <v>0</v>
      </c>
      <c r="K10" s="405">
        <f>FACTORS!$E$17*D10/453.592</f>
        <v>0</v>
      </c>
      <c r="L10" s="202">
        <f>FACTORS!$F$17*D10/453.592</f>
        <v>0</v>
      </c>
      <c r="M10" s="202">
        <f>FACTORS!$G$17*D10/453.592</f>
        <v>0</v>
      </c>
      <c r="N10" s="201">
        <f>FACTORS!$H$17*D10/453.592</f>
        <v>0</v>
      </c>
      <c r="O10" s="202">
        <f>FACTORS!$I$17*D10/453.592</f>
        <v>0</v>
      </c>
      <c r="P10" s="202">
        <f>FACTORS!$J$17*D10/453.592</f>
        <v>0</v>
      </c>
      <c r="Q10" s="204">
        <f>IFERROR(FACTORS!$K$17*D10/453.592,"--")</f>
        <v>0</v>
      </c>
      <c r="R10" s="200">
        <f>IF(I10=0,0,I10*($F10/($E10*24))*$G10*$H10/2000)</f>
        <v>0</v>
      </c>
      <c r="S10" s="202">
        <f>IF(J10=0,0,J10*($F10/($E10*24))*$G10*$H10/2000)</f>
        <v>0</v>
      </c>
      <c r="T10" s="202">
        <f t="shared" si="0"/>
        <v>0</v>
      </c>
      <c r="U10" s="202">
        <f t="shared" si="1"/>
        <v>0</v>
      </c>
      <c r="V10" s="202">
        <f t="shared" si="1"/>
        <v>0</v>
      </c>
      <c r="W10" s="202">
        <f t="shared" si="1"/>
        <v>0</v>
      </c>
      <c r="X10" s="202">
        <f>IFERROR(IF(O10=0,0,O10*($F10/($E10*24))*$G10*$H10/2000),"--")</f>
        <v>0</v>
      </c>
      <c r="Y10" s="202">
        <f>IF(P10=0,0,P10*($F10/($E10*24))*$G10*$H10/2000)</f>
        <v>0</v>
      </c>
      <c r="Z10" s="213">
        <f>IFERROR(IF(Q10=0,0,Q10*($F10/($E10*24))*$G10*$H10/2000),"--")</f>
        <v>0</v>
      </c>
      <c r="AA10" s="256"/>
      <c r="AB10" s="256"/>
      <c r="AC10" s="256"/>
      <c r="AD10" s="256"/>
      <c r="AE10" s="256"/>
      <c r="AF10" s="256"/>
      <c r="AG10" s="256"/>
      <c r="AH10" s="256"/>
      <c r="AI10" s="256"/>
      <c r="AJ10" s="256"/>
      <c r="AK10" s="256"/>
      <c r="AL10" s="256"/>
      <c r="AM10" s="256"/>
      <c r="AN10" s="256"/>
      <c r="AO10" s="256"/>
      <c r="AP10" s="256"/>
      <c r="AQ10" s="256"/>
      <c r="AR10" s="256"/>
    </row>
    <row r="11" spans="1:44" s="183" customFormat="1" x14ac:dyDescent="0.2">
      <c r="A11" s="206"/>
      <c r="B11" s="207" t="s">
        <v>194</v>
      </c>
      <c r="C11" s="207"/>
      <c r="D11" s="208">
        <v>0</v>
      </c>
      <c r="E11" s="214"/>
      <c r="F11" s="215"/>
      <c r="G11" s="208">
        <v>0</v>
      </c>
      <c r="H11" s="211">
        <v>0</v>
      </c>
      <c r="I11" s="222">
        <f>FACTORS!$C$19*D11/453.592</f>
        <v>0</v>
      </c>
      <c r="J11" s="404">
        <f>FACTORS!$D$19*D11/453.592</f>
        <v>0</v>
      </c>
      <c r="K11" s="405">
        <f>FACTORS!$E$19*D11/453.592</f>
        <v>0</v>
      </c>
      <c r="L11" s="202">
        <f>FACTORS!$F$19*D11/453.592</f>
        <v>0</v>
      </c>
      <c r="M11" s="202">
        <f>FACTORS!$G$19*D11/453.592</f>
        <v>0</v>
      </c>
      <c r="N11" s="201">
        <f>FACTORS!$H$19*D11/453.592</f>
        <v>0</v>
      </c>
      <c r="O11" s="202">
        <f>FACTORS!$I$19*D11/453.592</f>
        <v>0</v>
      </c>
      <c r="P11" s="202">
        <f>FACTORS!$J$19*D11/453.592</f>
        <v>0</v>
      </c>
      <c r="Q11" s="204">
        <f>FACTORS!$K$19*D11/453.592</f>
        <v>0</v>
      </c>
      <c r="R11" s="200">
        <f>I11*$G11*$H11/2000</f>
        <v>0</v>
      </c>
      <c r="S11" s="408">
        <f>J11*$G11*$H11/2000</f>
        <v>0</v>
      </c>
      <c r="T11" s="408">
        <f>K11*$G11*$H11/2000</f>
        <v>0</v>
      </c>
      <c r="U11" s="202">
        <f t="shared" ref="U11:Z11" si="2">L11*$G11*$H11/2000</f>
        <v>0</v>
      </c>
      <c r="V11" s="202">
        <f t="shared" si="2"/>
        <v>0</v>
      </c>
      <c r="W11" s="202">
        <f t="shared" si="2"/>
        <v>0</v>
      </c>
      <c r="X11" s="202">
        <f t="shared" si="2"/>
        <v>0</v>
      </c>
      <c r="Y11" s="202">
        <f t="shared" si="2"/>
        <v>0</v>
      </c>
      <c r="Z11" s="213">
        <f t="shared" si="2"/>
        <v>0</v>
      </c>
      <c r="AA11" s="256"/>
      <c r="AB11" s="256"/>
      <c r="AC11" s="256"/>
      <c r="AD11" s="256"/>
      <c r="AE11" s="256"/>
      <c r="AF11" s="256"/>
      <c r="AG11" s="256"/>
      <c r="AH11" s="256"/>
      <c r="AI11" s="256"/>
      <c r="AJ11" s="256"/>
      <c r="AK11" s="256"/>
      <c r="AL11" s="256"/>
      <c r="AM11" s="256"/>
      <c r="AN11" s="256"/>
      <c r="AO11" s="256"/>
      <c r="AP11" s="256"/>
      <c r="AQ11" s="256"/>
      <c r="AR11" s="256"/>
    </row>
    <row r="12" spans="1:44" s="183" customFormat="1" x14ac:dyDescent="0.2">
      <c r="A12" s="206"/>
      <c r="B12" s="207" t="s">
        <v>200</v>
      </c>
      <c r="C12" s="207"/>
      <c r="D12" s="208">
        <v>0</v>
      </c>
      <c r="E12" s="209">
        <f>FACTORS!$I$2*D12</f>
        <v>0</v>
      </c>
      <c r="F12" s="201">
        <f>E12*24</f>
        <v>0</v>
      </c>
      <c r="G12" s="210">
        <v>0</v>
      </c>
      <c r="H12" s="211">
        <v>0</v>
      </c>
      <c r="I12" s="406">
        <f>FACTORS!$C$18*D12/453.592</f>
        <v>0</v>
      </c>
      <c r="J12" s="404">
        <f>FACTORS!$D$18*D12/453.592</f>
        <v>0</v>
      </c>
      <c r="K12" s="405">
        <f>FACTORS!$E$18*D12/453.592</f>
        <v>0</v>
      </c>
      <c r="L12" s="202">
        <f>FACTORS!$F$18*D12/453.592</f>
        <v>0</v>
      </c>
      <c r="M12" s="202">
        <f>FACTORS!$G$18*D12/453.592</f>
        <v>0</v>
      </c>
      <c r="N12" s="201">
        <f>FACTORS!$H$18*D12/453.592</f>
        <v>0</v>
      </c>
      <c r="O12" s="202">
        <f>FACTORS!$I$18*D12/453.592</f>
        <v>0</v>
      </c>
      <c r="P12" s="202">
        <f>FACTORS!$J$18*D12/453.592</f>
        <v>0</v>
      </c>
      <c r="Q12" s="204">
        <f>FACTORS!$K$18*D12/453.592</f>
        <v>0</v>
      </c>
      <c r="R12" s="200">
        <f>IF(I12=0,0,I12*($F12/($E12*24))*$G12*$H12/2000)</f>
        <v>0</v>
      </c>
      <c r="S12" s="202">
        <f t="shared" ref="S12:W12" si="3">IF(J12=0,0,J12*($F12/($E12*24))*$G12*$H12/2000)</f>
        <v>0</v>
      </c>
      <c r="T12" s="202">
        <f t="shared" si="3"/>
        <v>0</v>
      </c>
      <c r="U12" s="202">
        <f t="shared" si="3"/>
        <v>0</v>
      </c>
      <c r="V12" s="202">
        <f t="shared" si="3"/>
        <v>0</v>
      </c>
      <c r="W12" s="202">
        <f t="shared" si="3"/>
        <v>0</v>
      </c>
      <c r="X12" s="202">
        <f>IFERROR(IF(O12=0,0,O12*($F12/($E12*24))*$G12*$H12/2000),"--")</f>
        <v>0</v>
      </c>
      <c r="Y12" s="202">
        <f t="shared" ref="Y12" si="4">IF(P12=0,0,P12*($F12/($E12*24))*$G12*$H12/2000)</f>
        <v>0</v>
      </c>
      <c r="Z12" s="213">
        <f>IFERROR(IF(Q12=0,0,Q12*($F12/($E12*24))*$G12*$H12/2000),"--")</f>
        <v>0</v>
      </c>
      <c r="AA12" s="256"/>
      <c r="AB12" s="256"/>
      <c r="AC12" s="256"/>
      <c r="AD12" s="256"/>
      <c r="AE12" s="256"/>
      <c r="AF12" s="256"/>
      <c r="AG12" s="256"/>
      <c r="AH12" s="256"/>
      <c r="AI12" s="256"/>
      <c r="AJ12" s="256"/>
      <c r="AK12" s="256"/>
      <c r="AL12" s="256"/>
      <c r="AM12" s="256"/>
      <c r="AN12" s="256"/>
      <c r="AO12" s="256"/>
      <c r="AP12" s="256"/>
      <c r="AQ12" s="256"/>
      <c r="AR12" s="256"/>
    </row>
    <row r="13" spans="1:44" ht="12.75" customHeight="1" x14ac:dyDescent="0.2">
      <c r="A13" s="61"/>
      <c r="B13" s="62"/>
      <c r="C13" s="62"/>
      <c r="D13" s="63"/>
      <c r="E13" s="64" t="s">
        <v>0</v>
      </c>
      <c r="F13" s="65"/>
      <c r="G13" s="66"/>
      <c r="H13" s="67"/>
      <c r="I13" s="59" t="s">
        <v>0</v>
      </c>
      <c r="J13" s="60"/>
      <c r="K13" s="374"/>
      <c r="L13" s="60" t="s">
        <v>0</v>
      </c>
      <c r="M13" s="60"/>
      <c r="N13" s="58"/>
      <c r="O13" s="60"/>
      <c r="P13" s="60"/>
      <c r="Q13" s="151"/>
      <c r="R13" s="75"/>
      <c r="S13" s="60"/>
      <c r="T13" s="60"/>
      <c r="U13" s="60"/>
      <c r="V13" s="60"/>
      <c r="W13" s="60"/>
      <c r="X13" s="68"/>
      <c r="Y13" s="68"/>
      <c r="Z13" s="69"/>
    </row>
    <row r="14" spans="1:44" s="183" customFormat="1" ht="12.75" customHeight="1" x14ac:dyDescent="0.2">
      <c r="A14" s="206" t="s">
        <v>183</v>
      </c>
      <c r="B14" s="207" t="s">
        <v>121</v>
      </c>
      <c r="C14" s="207"/>
      <c r="D14" s="208">
        <v>0</v>
      </c>
      <c r="E14" s="216">
        <f>FACTORS!$I$2*D14</f>
        <v>0</v>
      </c>
      <c r="F14" s="201">
        <f>E14*24</f>
        <v>0</v>
      </c>
      <c r="G14" s="210">
        <v>0</v>
      </c>
      <c r="H14" s="211">
        <v>0</v>
      </c>
      <c r="I14" s="236">
        <f>FACTORS!$C$17*D14/453.592</f>
        <v>0</v>
      </c>
      <c r="J14" s="407">
        <f>FACTORS!$D$17*D14/453.592</f>
        <v>0</v>
      </c>
      <c r="K14" s="409">
        <f>FACTORS!$E$17*D14/453.592</f>
        <v>0</v>
      </c>
      <c r="L14" s="219">
        <f>FACTORS!$F$17*D14/453.592</f>
        <v>0</v>
      </c>
      <c r="M14" s="219">
        <f>FACTORS!$G$17*D14/453.592</f>
        <v>0</v>
      </c>
      <c r="N14" s="218">
        <f>FACTORS!$H$17*D14/453.592</f>
        <v>0</v>
      </c>
      <c r="O14" s="219">
        <f>FACTORS!$I$17*D14/453.592</f>
        <v>0</v>
      </c>
      <c r="P14" s="219">
        <f>FACTORS!$J$17*D14/453.592</f>
        <v>0</v>
      </c>
      <c r="Q14" s="220">
        <f>FACTORS!$K$17*D14/453.592</f>
        <v>0</v>
      </c>
      <c r="R14" s="217">
        <f>IF(I14=0,0,I14*($F14/($E14*24))*$G14*$H14/2000)</f>
        <v>0</v>
      </c>
      <c r="S14" s="219">
        <f t="shared" ref="S14:W14" si="5">IF(J14=0,0,J14*($F14/($E14*24))*$G14*$H14/2000)</f>
        <v>0</v>
      </c>
      <c r="T14" s="219">
        <f t="shared" si="5"/>
        <v>0</v>
      </c>
      <c r="U14" s="219">
        <f t="shared" si="5"/>
        <v>0</v>
      </c>
      <c r="V14" s="219">
        <f t="shared" si="5"/>
        <v>0</v>
      </c>
      <c r="W14" s="219">
        <f t="shared" si="5"/>
        <v>0</v>
      </c>
      <c r="X14" s="219">
        <f>IFERROR(IF(O14=0,0,O14*($F14/($E14*24))*$G14*$H14/2000),"--")</f>
        <v>0</v>
      </c>
      <c r="Y14" s="219">
        <f t="shared" ref="Y14" si="6">IF(P14=0,0,P14*($F14/($E14*24))*$G14*$H14/2000)</f>
        <v>0</v>
      </c>
      <c r="Z14" s="221">
        <f>IFERROR(IF(Q14=0,0,Q14*($F14/($E14*24))*$G14*$H14/2000),"--")</f>
        <v>0</v>
      </c>
      <c r="AA14" s="256"/>
      <c r="AB14" s="256"/>
      <c r="AC14" s="256"/>
      <c r="AD14" s="256"/>
      <c r="AE14" s="256"/>
      <c r="AF14" s="256"/>
      <c r="AG14" s="256"/>
      <c r="AH14" s="256"/>
      <c r="AI14" s="256"/>
      <c r="AJ14" s="256"/>
      <c r="AK14" s="256"/>
      <c r="AL14" s="256"/>
      <c r="AM14" s="256"/>
      <c r="AN14" s="256"/>
      <c r="AO14" s="256"/>
      <c r="AP14" s="256"/>
      <c r="AQ14" s="256"/>
      <c r="AR14" s="256"/>
    </row>
    <row r="15" spans="1:44" ht="12.75" customHeight="1" x14ac:dyDescent="0.2">
      <c r="A15" s="61"/>
      <c r="B15" s="62"/>
      <c r="C15" s="62"/>
      <c r="D15" s="450" t="s">
        <v>205</v>
      </c>
      <c r="E15" s="64" t="s">
        <v>0</v>
      </c>
      <c r="F15" s="65"/>
      <c r="G15" s="66"/>
      <c r="H15" s="67"/>
      <c r="I15" s="59" t="s">
        <v>0</v>
      </c>
      <c r="J15" s="414" t="s">
        <v>0</v>
      </c>
      <c r="K15" s="415" t="s">
        <v>0</v>
      </c>
      <c r="L15" s="60" t="s">
        <v>0</v>
      </c>
      <c r="M15" s="60"/>
      <c r="N15" s="58"/>
      <c r="O15" s="60"/>
      <c r="P15" s="60"/>
      <c r="Q15" s="151"/>
      <c r="R15" s="75"/>
      <c r="S15" s="60"/>
      <c r="T15" s="60"/>
      <c r="U15" s="60"/>
      <c r="V15" s="60"/>
      <c r="W15" s="60"/>
      <c r="X15" s="68"/>
      <c r="Y15" s="68"/>
      <c r="Z15" s="69"/>
    </row>
    <row r="16" spans="1:44" ht="12.75" customHeight="1" x14ac:dyDescent="0.2">
      <c r="A16" s="230" t="s">
        <v>61</v>
      </c>
      <c r="B16" s="231" t="s">
        <v>31</v>
      </c>
      <c r="C16" s="232"/>
      <c r="D16" s="233">
        <v>0</v>
      </c>
      <c r="E16" s="227"/>
      <c r="F16" s="228"/>
      <c r="G16" s="234">
        <v>0</v>
      </c>
      <c r="H16" s="235">
        <v>0</v>
      </c>
      <c r="I16" s="236">
        <f>FACTORS!$C$27*D16/24</f>
        <v>0</v>
      </c>
      <c r="J16" s="407">
        <f>FACTORS!$D$27*D16/24</f>
        <v>0</v>
      </c>
      <c r="K16" s="409">
        <f>FACTORS!$E$27*D16/24</f>
        <v>0</v>
      </c>
      <c r="L16" s="219">
        <f>FACTORS!$F$27*D16/24</f>
        <v>0</v>
      </c>
      <c r="M16" s="219">
        <f>FACTORS!$G$27*D16/24</f>
        <v>0</v>
      </c>
      <c r="N16" s="218">
        <f>FACTORS!$H$27*D16/24</f>
        <v>0</v>
      </c>
      <c r="O16" s="218">
        <f>FACTORS!$I$27*D16/24</f>
        <v>0</v>
      </c>
      <c r="P16" s="219">
        <f>FACTORS!$J$27*D16/24</f>
        <v>0</v>
      </c>
      <c r="Q16" s="219">
        <f>FACTORS!$K$27*D16/24</f>
        <v>0</v>
      </c>
      <c r="R16" s="236">
        <f>IFERROR(I16*$G16*$H16/2000, "--")</f>
        <v>0</v>
      </c>
      <c r="S16" s="408">
        <f>IFERROR(J16*$G16*$H16/2000, "--")</f>
        <v>0</v>
      </c>
      <c r="T16" s="409">
        <f>IFERROR(K16*$G16*$H16/2000, "--")</f>
        <v>0</v>
      </c>
      <c r="U16" s="219">
        <f t="shared" ref="U16:Z16" si="7">IFERROR(L16*$G16*$H16/2000, "--")</f>
        <v>0</v>
      </c>
      <c r="V16" s="219">
        <f t="shared" si="7"/>
        <v>0</v>
      </c>
      <c r="W16" s="219">
        <f t="shared" si="7"/>
        <v>0</v>
      </c>
      <c r="X16" s="219">
        <f t="shared" si="7"/>
        <v>0</v>
      </c>
      <c r="Y16" s="218">
        <f t="shared" si="7"/>
        <v>0</v>
      </c>
      <c r="Z16" s="221">
        <f t="shared" si="7"/>
        <v>0</v>
      </c>
    </row>
    <row r="17" spans="1:44" ht="15" customHeight="1" x14ac:dyDescent="0.2">
      <c r="A17" s="237" t="s">
        <v>65</v>
      </c>
      <c r="B17" s="207" t="s">
        <v>128</v>
      </c>
      <c r="C17" s="238"/>
      <c r="D17" s="239"/>
      <c r="E17" s="209">
        <v>0</v>
      </c>
      <c r="F17" s="229" t="s">
        <v>0</v>
      </c>
      <c r="G17" s="208">
        <v>0</v>
      </c>
      <c r="H17" s="211">
        <v>0</v>
      </c>
      <c r="I17" s="222">
        <f>FACTORS!$C$22*E17/1000000</f>
        <v>0</v>
      </c>
      <c r="J17" s="408">
        <f>FACTORS!$D$22*E17/1000000</f>
        <v>0</v>
      </c>
      <c r="K17" s="404">
        <f>FACTORS!$E$22*E17/1000000</f>
        <v>0</v>
      </c>
      <c r="L17" s="202">
        <f>FACTORS!$F$22*E17/1000000</f>
        <v>0</v>
      </c>
      <c r="M17" s="202">
        <f>FACTORS!$G$22*E17/1000000</f>
        <v>0</v>
      </c>
      <c r="N17" s="201">
        <f>FACTORS!$H$22*E17/1000000</f>
        <v>0</v>
      </c>
      <c r="O17" s="202" t="str">
        <f>IFERROR(FACTORS!$I$22*E17/1000000,"--")</f>
        <v>--</v>
      </c>
      <c r="P17" s="202">
        <f>FACTORS!$J$22*E17/1000000</f>
        <v>0</v>
      </c>
      <c r="Q17" s="212" t="str">
        <f>IFERROR(FACTORS!$K$22*E17/1000000, "--")</f>
        <v>--</v>
      </c>
      <c r="R17" s="222">
        <f>IFERROR(I17*$G17*$H17/2000,"--")</f>
        <v>0</v>
      </c>
      <c r="S17" s="408">
        <f t="shared" ref="S17:Z20" si="8">IFERROR(J17*$G17*$H17/2000,"--")</f>
        <v>0</v>
      </c>
      <c r="T17" s="404">
        <f t="shared" si="8"/>
        <v>0</v>
      </c>
      <c r="U17" s="202">
        <f t="shared" si="8"/>
        <v>0</v>
      </c>
      <c r="V17" s="202">
        <f t="shared" si="8"/>
        <v>0</v>
      </c>
      <c r="W17" s="202">
        <f t="shared" si="8"/>
        <v>0</v>
      </c>
      <c r="X17" s="202" t="str">
        <f t="shared" si="8"/>
        <v>--</v>
      </c>
      <c r="Y17" s="202">
        <f t="shared" si="8"/>
        <v>0</v>
      </c>
      <c r="Z17" s="213" t="str">
        <f t="shared" si="8"/>
        <v>--</v>
      </c>
    </row>
    <row r="18" spans="1:44" ht="15" customHeight="1" x14ac:dyDescent="0.2">
      <c r="A18" s="237"/>
      <c r="B18" s="207" t="s">
        <v>129</v>
      </c>
      <c r="C18" s="207"/>
      <c r="D18" s="240"/>
      <c r="E18" s="209">
        <v>0</v>
      </c>
      <c r="F18" s="229" t="s">
        <v>0</v>
      </c>
      <c r="G18" s="208">
        <v>0</v>
      </c>
      <c r="H18" s="211">
        <v>0</v>
      </c>
      <c r="I18" s="222">
        <f>FACTORS!$C$23*E18/1000000</f>
        <v>0</v>
      </c>
      <c r="J18" s="408">
        <f>FACTORS!$D$23*E18/1000000</f>
        <v>0</v>
      </c>
      <c r="K18" s="404">
        <f>FACTORS!$E$23*E18/1000000</f>
        <v>0</v>
      </c>
      <c r="L18" s="202">
        <f>FACTORS!$F$23*E18/1000000</f>
        <v>0</v>
      </c>
      <c r="M18" s="202">
        <f>FACTORS!$G$23*E18/1000000</f>
        <v>0</v>
      </c>
      <c r="N18" s="201">
        <f>FACTORS!$H$23*E18/1000000</f>
        <v>0</v>
      </c>
      <c r="O18" s="202" t="str">
        <f>IFERROR(FACTORS!$I$23*E18/1000000, "--")</f>
        <v>--</v>
      </c>
      <c r="P18" s="202">
        <f>FACTORS!$J$23*E18/1000000</f>
        <v>0</v>
      </c>
      <c r="Q18" s="223" t="str">
        <f>IFERROR(FACTORS!$K$23*E18/1000000, "--")</f>
        <v>--</v>
      </c>
      <c r="R18" s="222">
        <f>IFERROR(I18*$G18*$H18/2000,"--")</f>
        <v>0</v>
      </c>
      <c r="S18" s="408">
        <f t="shared" si="8"/>
        <v>0</v>
      </c>
      <c r="T18" s="404">
        <f t="shared" si="8"/>
        <v>0</v>
      </c>
      <c r="U18" s="202">
        <f t="shared" si="8"/>
        <v>0</v>
      </c>
      <c r="V18" s="202">
        <f t="shared" si="8"/>
        <v>0</v>
      </c>
      <c r="W18" s="202">
        <f t="shared" si="8"/>
        <v>0</v>
      </c>
      <c r="X18" s="202" t="str">
        <f t="shared" si="8"/>
        <v>--</v>
      </c>
      <c r="Y18" s="202">
        <f t="shared" si="8"/>
        <v>0</v>
      </c>
      <c r="Z18" s="213" t="str">
        <f t="shared" si="8"/>
        <v>--</v>
      </c>
    </row>
    <row r="19" spans="1:44" ht="15" customHeight="1" x14ac:dyDescent="0.2">
      <c r="A19" s="237"/>
      <c r="B19" s="207" t="s">
        <v>130</v>
      </c>
      <c r="C19" s="207"/>
      <c r="D19" s="240"/>
      <c r="E19" s="209">
        <v>0</v>
      </c>
      <c r="F19" s="229" t="s">
        <v>0</v>
      </c>
      <c r="G19" s="208">
        <v>0</v>
      </c>
      <c r="H19" s="211">
        <v>0</v>
      </c>
      <c r="I19" s="222">
        <f>FACTORS!$C$24*E19/1000000</f>
        <v>0</v>
      </c>
      <c r="J19" s="408">
        <f>FACTORS!$D$24*E19/1000000</f>
        <v>0</v>
      </c>
      <c r="K19" s="404">
        <f>FACTORS!$E$24*E19/1000000</f>
        <v>0</v>
      </c>
      <c r="L19" s="202">
        <f>FACTORS!$F$24*E19/1000000</f>
        <v>0</v>
      </c>
      <c r="M19" s="202">
        <f>FACTORS!$G$24*E19/1000000</f>
        <v>0</v>
      </c>
      <c r="N19" s="201">
        <f>FACTORS!$H$24*E19/1000000</f>
        <v>0</v>
      </c>
      <c r="O19" s="202" t="str">
        <f>IFERROR(FACTORS!$I$24*E19/1000000, "--")</f>
        <v>--</v>
      </c>
      <c r="P19" s="202">
        <f>FACTORS!$J$24*E19/1000000</f>
        <v>0</v>
      </c>
      <c r="Q19" s="223" t="str">
        <f>IFERROR(FACTORS!$K$24*E19/1000000, "--")</f>
        <v>--</v>
      </c>
      <c r="R19" s="222">
        <f>IFERROR(I19*$G19*$H19/2000,"--")</f>
        <v>0</v>
      </c>
      <c r="S19" s="408">
        <f t="shared" si="8"/>
        <v>0</v>
      </c>
      <c r="T19" s="404">
        <f t="shared" si="8"/>
        <v>0</v>
      </c>
      <c r="U19" s="202">
        <f t="shared" si="8"/>
        <v>0</v>
      </c>
      <c r="V19" s="202">
        <f t="shared" si="8"/>
        <v>0</v>
      </c>
      <c r="W19" s="202">
        <f t="shared" si="8"/>
        <v>0</v>
      </c>
      <c r="X19" s="202" t="str">
        <f t="shared" si="8"/>
        <v>--</v>
      </c>
      <c r="Y19" s="202">
        <f t="shared" si="8"/>
        <v>0</v>
      </c>
      <c r="Z19" s="213" t="str">
        <f t="shared" si="8"/>
        <v>--</v>
      </c>
    </row>
    <row r="20" spans="1:44" ht="15" customHeight="1" x14ac:dyDescent="0.2">
      <c r="A20" s="237"/>
      <c r="B20" s="207" t="s">
        <v>131</v>
      </c>
      <c r="C20" s="207"/>
      <c r="D20" s="240"/>
      <c r="E20" s="209">
        <v>0</v>
      </c>
      <c r="F20" s="229" t="s">
        <v>0</v>
      </c>
      <c r="G20" s="208">
        <v>0</v>
      </c>
      <c r="H20" s="211">
        <v>0</v>
      </c>
      <c r="I20" s="222">
        <f>FACTORS!$C$25*E20/1000000</f>
        <v>0</v>
      </c>
      <c r="J20" s="408">
        <f>FACTORS!$D$25*E20/1000000</f>
        <v>0</v>
      </c>
      <c r="K20" s="404">
        <f>FACTORS!$E$25*E20/1000000</f>
        <v>0</v>
      </c>
      <c r="L20" s="202">
        <f>FACTORS!$F$25*E20/1000000</f>
        <v>0</v>
      </c>
      <c r="M20" s="202">
        <f>FACTORS!$G$25*E20/1000000</f>
        <v>0</v>
      </c>
      <c r="N20" s="201">
        <f>FACTORS!$H$25*E20/1000000</f>
        <v>0</v>
      </c>
      <c r="O20" s="202" t="str">
        <f>IFERROR(FACTORS!$I$25*E20/1000000, "--")</f>
        <v>--</v>
      </c>
      <c r="P20" s="202">
        <f>FACTORS!$J$25*E20/1000000</f>
        <v>0</v>
      </c>
      <c r="Q20" s="223" t="str">
        <f>IFERROR(FACTORS!$K$25*E20/1000000, "--")</f>
        <v>--</v>
      </c>
      <c r="R20" s="328">
        <f>IFERROR(I20*$G20*$H20/2000,"--")</f>
        <v>0</v>
      </c>
      <c r="S20" s="410">
        <f t="shared" si="8"/>
        <v>0</v>
      </c>
      <c r="T20" s="411">
        <f>IFERROR(K20*$G20*$H20/2000,"--")</f>
        <v>0</v>
      </c>
      <c r="U20" s="225">
        <f t="shared" si="8"/>
        <v>0</v>
      </c>
      <c r="V20" s="225">
        <f t="shared" si="8"/>
        <v>0</v>
      </c>
      <c r="W20" s="225">
        <f t="shared" si="8"/>
        <v>0</v>
      </c>
      <c r="X20" s="225" t="str">
        <f t="shared" si="8"/>
        <v>--</v>
      </c>
      <c r="Y20" s="225">
        <f t="shared" si="8"/>
        <v>0</v>
      </c>
      <c r="Z20" s="226" t="str">
        <f t="shared" si="8"/>
        <v>--</v>
      </c>
    </row>
    <row r="21" spans="1:44" ht="24.75" customHeight="1" x14ac:dyDescent="0.2">
      <c r="A21" s="360" t="s">
        <v>184</v>
      </c>
      <c r="B21" s="362" t="s">
        <v>160</v>
      </c>
      <c r="C21" s="157"/>
      <c r="D21" s="357" t="s">
        <v>100</v>
      </c>
      <c r="E21" s="74"/>
      <c r="F21" s="74"/>
      <c r="G21" s="169" t="s">
        <v>60</v>
      </c>
      <c r="H21" s="358" t="s">
        <v>71</v>
      </c>
      <c r="I21" s="375"/>
      <c r="J21" s="425"/>
      <c r="K21" s="426"/>
      <c r="L21" s="320"/>
      <c r="M21" s="320"/>
      <c r="N21" s="121"/>
      <c r="O21" s="320"/>
      <c r="P21" s="320"/>
      <c r="Q21" s="359"/>
      <c r="R21" s="59"/>
      <c r="S21" s="414"/>
      <c r="T21" s="415"/>
      <c r="U21" s="60"/>
      <c r="V21" s="60"/>
      <c r="W21" s="60"/>
      <c r="X21" s="60"/>
      <c r="Y21" s="60"/>
      <c r="Z21" s="110"/>
    </row>
    <row r="22" spans="1:44" s="183" customFormat="1" ht="12.75" customHeight="1" x14ac:dyDescent="0.2">
      <c r="A22" s="324"/>
      <c r="B22" s="271" t="s">
        <v>120</v>
      </c>
      <c r="C22" s="272"/>
      <c r="D22" s="273">
        <v>0</v>
      </c>
      <c r="E22" s="270"/>
      <c r="F22" s="270"/>
      <c r="G22" s="273">
        <v>0</v>
      </c>
      <c r="H22" s="325">
        <v>0</v>
      </c>
      <c r="I22" s="328">
        <f>FACTORS!$C$41*D22/453.592</f>
        <v>0</v>
      </c>
      <c r="J22" s="410">
        <f>FACTORS!$D$41*D22/453.592</f>
        <v>0</v>
      </c>
      <c r="K22" s="411">
        <f>FACTORS!$E$41*D22/453.592</f>
        <v>0</v>
      </c>
      <c r="L22" s="225">
        <f>FACTORS!$F$41*D22/453.592</f>
        <v>0</v>
      </c>
      <c r="M22" s="225">
        <f>FACTORS!$G$41*D22/453.592</f>
        <v>0</v>
      </c>
      <c r="N22" s="326">
        <f>FACTORS!$H$41*D22/453.592</f>
        <v>0</v>
      </c>
      <c r="O22" s="365" t="s">
        <v>108</v>
      </c>
      <c r="P22" s="225">
        <f>FACTORS!$J$41*D22/453.592</f>
        <v>0</v>
      </c>
      <c r="Q22" s="356">
        <f>FACTORS!$K$41*D22/453.592</f>
        <v>0</v>
      </c>
      <c r="R22" s="224">
        <f t="shared" ref="R22" si="9">IFERROR((I22*$G22*$H22)/2000, "")</f>
        <v>0</v>
      </c>
      <c r="S22" s="410">
        <f>IFERROR((J22*$G22*$H22)/2000, "")</f>
        <v>0</v>
      </c>
      <c r="T22" s="411">
        <f>IFERROR((K22*$G22*$H22)/2000, "")</f>
        <v>0</v>
      </c>
      <c r="U22" s="327">
        <f t="shared" ref="U22:W22" si="10">IFERROR((L22*$G22*$H22)/2000, "")</f>
        <v>0</v>
      </c>
      <c r="V22" s="327">
        <f t="shared" si="10"/>
        <v>0</v>
      </c>
      <c r="W22" s="327">
        <f t="shared" si="10"/>
        <v>0</v>
      </c>
      <c r="X22" s="327" t="str">
        <f>IFERROR((O22*$G22*$H22)/2000, "--")</f>
        <v>--</v>
      </c>
      <c r="Y22" s="327">
        <f t="shared" ref="Y22:Z22" si="11">IFERROR((P22*$G22*$H22)/2000, "")</f>
        <v>0</v>
      </c>
      <c r="Z22" s="226">
        <f t="shared" si="11"/>
        <v>0</v>
      </c>
      <c r="AA22" s="256"/>
      <c r="AB22" s="256"/>
      <c r="AC22" s="256"/>
      <c r="AD22" s="256"/>
      <c r="AE22" s="256"/>
      <c r="AF22" s="256"/>
      <c r="AG22" s="256"/>
      <c r="AH22" s="256"/>
      <c r="AI22" s="256"/>
      <c r="AJ22" s="256"/>
      <c r="AK22" s="256"/>
      <c r="AL22" s="256"/>
      <c r="AM22" s="256"/>
      <c r="AN22" s="256"/>
      <c r="AO22" s="256"/>
      <c r="AP22" s="256"/>
      <c r="AQ22" s="256"/>
      <c r="AR22" s="256"/>
    </row>
    <row r="23" spans="1:44" s="252" customFormat="1" ht="12.75" customHeight="1" x14ac:dyDescent="0.2">
      <c r="A23" s="248">
        <f>EMISSIONS1!A23+1</f>
        <v>2021</v>
      </c>
      <c r="B23" s="249" t="s">
        <v>123</v>
      </c>
      <c r="C23" s="355"/>
      <c r="D23" s="241"/>
      <c r="E23" s="241"/>
      <c r="F23" s="250"/>
      <c r="G23" s="241"/>
      <c r="H23" s="251"/>
      <c r="I23" s="379">
        <f t="shared" ref="I23:Q23" si="12">SUM(I7:I22)</f>
        <v>0</v>
      </c>
      <c r="J23" s="412">
        <f t="shared" si="12"/>
        <v>0</v>
      </c>
      <c r="K23" s="413">
        <f t="shared" si="12"/>
        <v>0</v>
      </c>
      <c r="L23" s="253">
        <f t="shared" si="12"/>
        <v>0</v>
      </c>
      <c r="M23" s="253">
        <f t="shared" si="12"/>
        <v>0</v>
      </c>
      <c r="N23" s="253">
        <f t="shared" si="12"/>
        <v>0</v>
      </c>
      <c r="O23" s="253">
        <f t="shared" si="12"/>
        <v>0</v>
      </c>
      <c r="P23" s="253">
        <f t="shared" si="12"/>
        <v>0</v>
      </c>
      <c r="Q23" s="253">
        <f t="shared" si="12"/>
        <v>0</v>
      </c>
      <c r="R23" s="382">
        <f t="shared" ref="R23:Z23" si="13">SUM(R7:R22)</f>
        <v>0</v>
      </c>
      <c r="S23" s="412">
        <f t="shared" si="13"/>
        <v>0</v>
      </c>
      <c r="T23" s="413">
        <f t="shared" si="13"/>
        <v>0</v>
      </c>
      <c r="U23" s="253">
        <f t="shared" si="13"/>
        <v>0</v>
      </c>
      <c r="V23" s="253">
        <f t="shared" si="13"/>
        <v>0</v>
      </c>
      <c r="W23" s="253">
        <f t="shared" si="13"/>
        <v>0</v>
      </c>
      <c r="X23" s="253">
        <f t="shared" si="13"/>
        <v>0</v>
      </c>
      <c r="Y23" s="253">
        <f t="shared" si="13"/>
        <v>0</v>
      </c>
      <c r="Z23" s="261">
        <f t="shared" si="13"/>
        <v>0</v>
      </c>
      <c r="AA23" s="256"/>
      <c r="AB23" s="256"/>
      <c r="AC23" s="256"/>
      <c r="AD23" s="256"/>
      <c r="AE23" s="256"/>
      <c r="AF23" s="256"/>
      <c r="AG23" s="256"/>
      <c r="AH23" s="256"/>
      <c r="AI23" s="256"/>
      <c r="AJ23" s="256"/>
      <c r="AK23" s="256"/>
      <c r="AL23" s="256"/>
      <c r="AM23" s="256"/>
      <c r="AN23" s="256"/>
      <c r="AO23" s="256"/>
      <c r="AP23" s="256"/>
      <c r="AQ23" s="256"/>
      <c r="AR23" s="256"/>
    </row>
    <row r="24" spans="1:44" ht="26.1" customHeight="1" x14ac:dyDescent="0.2">
      <c r="A24" s="280" t="s">
        <v>66</v>
      </c>
      <c r="B24" s="76" t="s">
        <v>67</v>
      </c>
      <c r="C24" s="76"/>
      <c r="D24" s="70"/>
      <c r="E24" s="70"/>
      <c r="F24" s="71"/>
      <c r="G24" s="70"/>
      <c r="H24" s="119"/>
      <c r="I24" s="376"/>
      <c r="J24" s="421"/>
      <c r="K24" s="422"/>
      <c r="L24" s="285"/>
      <c r="M24" s="285"/>
      <c r="N24" s="285"/>
      <c r="O24" s="285"/>
      <c r="P24" s="285"/>
      <c r="Q24" s="120"/>
      <c r="R24" s="378">
        <f>33.3*$B$25</f>
        <v>0</v>
      </c>
      <c r="S24" s="417"/>
      <c r="T24" s="418"/>
      <c r="U24" s="288">
        <f>33.3*$B$25</f>
        <v>0</v>
      </c>
      <c r="V24" s="288">
        <f>33.3*$B$25</f>
        <v>0</v>
      </c>
      <c r="W24" s="288">
        <f>33.3*$B$25</f>
        <v>0</v>
      </c>
      <c r="X24" s="288"/>
      <c r="Y24" s="288">
        <f>3400*$B$25^(2/3)</f>
        <v>0</v>
      </c>
      <c r="Z24" s="289"/>
    </row>
    <row r="25" spans="1:44" s="276" customFormat="1" ht="12.75" customHeight="1" x14ac:dyDescent="0.2">
      <c r="A25" s="350"/>
      <c r="B25" s="137">
        <f>EMISSIONS1!B25</f>
        <v>0</v>
      </c>
      <c r="C25" s="137"/>
      <c r="D25" s="11"/>
      <c r="E25" s="11"/>
      <c r="F25" s="136"/>
      <c r="G25" s="11"/>
      <c r="H25" s="72"/>
      <c r="I25" s="321"/>
      <c r="J25" s="387"/>
      <c r="K25" s="416"/>
      <c r="L25" s="153"/>
      <c r="M25" s="153"/>
      <c r="N25" s="153"/>
      <c r="O25" s="153"/>
      <c r="P25" s="153"/>
      <c r="Q25" s="351"/>
      <c r="R25" s="352"/>
      <c r="S25" s="419"/>
      <c r="T25" s="420"/>
      <c r="U25" s="353"/>
      <c r="V25" s="353"/>
      <c r="W25" s="353"/>
      <c r="X25" s="353"/>
      <c r="Y25" s="353"/>
      <c r="Z25" s="354"/>
      <c r="AA25" s="275"/>
      <c r="AB25" s="275"/>
      <c r="AC25" s="275"/>
      <c r="AD25" s="275"/>
      <c r="AE25" s="275"/>
      <c r="AF25" s="275"/>
      <c r="AG25" s="275"/>
      <c r="AH25" s="275"/>
      <c r="AI25" s="275"/>
      <c r="AJ25" s="275"/>
      <c r="AK25" s="275"/>
      <c r="AL25" s="275"/>
      <c r="AM25" s="275"/>
      <c r="AN25" s="275"/>
      <c r="AO25" s="275"/>
      <c r="AP25" s="275"/>
      <c r="AQ25" s="275"/>
      <c r="AR25" s="275"/>
    </row>
    <row r="26" spans="1:44" s="183" customFormat="1" ht="12.75" customHeight="1" x14ac:dyDescent="0.2">
      <c r="A26" s="174" t="s">
        <v>61</v>
      </c>
      <c r="B26" s="175" t="s">
        <v>114</v>
      </c>
      <c r="C26" s="175"/>
      <c r="D26" s="176">
        <v>0</v>
      </c>
      <c r="E26" s="177">
        <f>FACTORS!$I$2*D26</f>
        <v>0</v>
      </c>
      <c r="F26" s="178">
        <f t="shared" ref="F26:F32" si="14">E26*24</f>
        <v>0</v>
      </c>
      <c r="G26" s="179">
        <v>0</v>
      </c>
      <c r="H26" s="180">
        <v>0</v>
      </c>
      <c r="I26" s="184">
        <f>FACTORS!$C$17*D26/453.592</f>
        <v>0</v>
      </c>
      <c r="J26" s="332">
        <f>FACTORS!$D$17*D26/453.592</f>
        <v>0</v>
      </c>
      <c r="K26" s="246">
        <f>FACTORS!$E$17*D26/453.592</f>
        <v>0</v>
      </c>
      <c r="L26" s="181">
        <f>FACTORS!$F$17*D26/453.592</f>
        <v>0</v>
      </c>
      <c r="M26" s="181">
        <f>FACTORS!$G$17*D26/453.592</f>
        <v>0</v>
      </c>
      <c r="N26" s="178">
        <f>FACTORS!$H$17*D26/453.592</f>
        <v>0</v>
      </c>
      <c r="O26" s="181">
        <f>FACTORS!$I$17*D26/453.592</f>
        <v>0</v>
      </c>
      <c r="P26" s="181">
        <f>FACTORS!$J$17*D26/453.592</f>
        <v>0</v>
      </c>
      <c r="Q26" s="191">
        <f>FACTORS!$K$17*D26/453.592</f>
        <v>0</v>
      </c>
      <c r="R26" s="184">
        <f t="shared" ref="R26:W32" si="15">IF(I26=0,0,I26*($F26/($E26*24))*$G26*$H26/2000)</f>
        <v>0</v>
      </c>
      <c r="S26" s="332">
        <f t="shared" si="15"/>
        <v>0</v>
      </c>
      <c r="T26" s="246">
        <f t="shared" si="15"/>
        <v>0</v>
      </c>
      <c r="U26" s="181">
        <f t="shared" si="15"/>
        <v>0</v>
      </c>
      <c r="V26" s="181">
        <f t="shared" si="15"/>
        <v>0</v>
      </c>
      <c r="W26" s="181">
        <f t="shared" si="15"/>
        <v>0</v>
      </c>
      <c r="X26" s="181">
        <f t="shared" ref="X26:X32" si="16">IFERROR(IF(O26=0,0,O26*($F26/($E26*24))*$G26*$H26/2000),"--")</f>
        <v>0</v>
      </c>
      <c r="Y26" s="181">
        <f t="shared" ref="Y26:Y32" si="17">IF(P26=0,0,P26*($F26/($E26*24))*$G26*$H26/2000)</f>
        <v>0</v>
      </c>
      <c r="Z26" s="182">
        <f t="shared" ref="Z26:Z32" si="18">IFERROR(IF(Q26=0,0,Q26*($F26/($E26*24))*$G26*$H26/2000),"--")</f>
        <v>0</v>
      </c>
      <c r="AA26" s="256"/>
      <c r="AB26" s="256"/>
      <c r="AC26" s="256"/>
      <c r="AD26" s="256"/>
      <c r="AE26" s="256"/>
      <c r="AF26" s="256"/>
      <c r="AG26" s="256"/>
      <c r="AH26" s="256"/>
      <c r="AI26" s="256"/>
      <c r="AJ26" s="256"/>
      <c r="AK26" s="256"/>
      <c r="AL26" s="256"/>
      <c r="AM26" s="256"/>
      <c r="AN26" s="256"/>
      <c r="AO26" s="256"/>
      <c r="AP26" s="256"/>
      <c r="AQ26" s="256"/>
      <c r="AR26" s="256"/>
    </row>
    <row r="27" spans="1:44" s="183" customFormat="1" x14ac:dyDescent="0.2">
      <c r="A27" s="174"/>
      <c r="B27" s="175" t="s">
        <v>115</v>
      </c>
      <c r="C27" s="175"/>
      <c r="D27" s="176">
        <v>0</v>
      </c>
      <c r="E27" s="177">
        <f>FACTORS!$I$2*D27</f>
        <v>0</v>
      </c>
      <c r="F27" s="178">
        <f t="shared" si="14"/>
        <v>0</v>
      </c>
      <c r="G27" s="176">
        <v>0</v>
      </c>
      <c r="H27" s="180">
        <v>0</v>
      </c>
      <c r="I27" s="184">
        <f>FACTORS!$C$17*D27/453.592</f>
        <v>0</v>
      </c>
      <c r="J27" s="181">
        <f>FACTORS!$D$17*D27/453.592</f>
        <v>0</v>
      </c>
      <c r="K27" s="246">
        <f>FACTORS!$E$17*D27/453.592</f>
        <v>0</v>
      </c>
      <c r="L27" s="181">
        <f>FACTORS!$F$17*D27/453.592</f>
        <v>0</v>
      </c>
      <c r="M27" s="181">
        <f>FACTORS!$G$17*D27/453.592</f>
        <v>0</v>
      </c>
      <c r="N27" s="178">
        <f>FACTORS!$H$17*D27/453.592</f>
        <v>0</v>
      </c>
      <c r="O27" s="181">
        <f>FACTORS!$I$17*D27/453.592</f>
        <v>0</v>
      </c>
      <c r="P27" s="181">
        <f>FACTORS!$J$17*D27/453.592</f>
        <v>0</v>
      </c>
      <c r="Q27" s="191">
        <f>FACTORS!$K$17*D27/453.592</f>
        <v>0</v>
      </c>
      <c r="R27" s="184">
        <f t="shared" si="15"/>
        <v>0</v>
      </c>
      <c r="S27" s="181">
        <f t="shared" si="15"/>
        <v>0</v>
      </c>
      <c r="T27" s="181">
        <f t="shared" si="15"/>
        <v>0</v>
      </c>
      <c r="U27" s="181">
        <f t="shared" si="15"/>
        <v>0</v>
      </c>
      <c r="V27" s="181">
        <f t="shared" si="15"/>
        <v>0</v>
      </c>
      <c r="W27" s="181">
        <f t="shared" si="15"/>
        <v>0</v>
      </c>
      <c r="X27" s="181">
        <f t="shared" si="16"/>
        <v>0</v>
      </c>
      <c r="Y27" s="181">
        <f t="shared" si="17"/>
        <v>0</v>
      </c>
      <c r="Z27" s="182">
        <f t="shared" si="18"/>
        <v>0</v>
      </c>
      <c r="AA27" s="256"/>
      <c r="AB27" s="256"/>
      <c r="AC27" s="256"/>
      <c r="AD27" s="256"/>
      <c r="AE27" s="256"/>
      <c r="AF27" s="256"/>
      <c r="AG27" s="256"/>
      <c r="AH27" s="256"/>
      <c r="AI27" s="256"/>
      <c r="AJ27" s="256"/>
      <c r="AK27" s="256"/>
      <c r="AL27" s="256"/>
      <c r="AM27" s="256"/>
      <c r="AN27" s="256"/>
      <c r="AO27" s="256"/>
      <c r="AP27" s="256"/>
      <c r="AQ27" s="256"/>
      <c r="AR27" s="256"/>
    </row>
    <row r="28" spans="1:44" s="183" customFormat="1" x14ac:dyDescent="0.2">
      <c r="A28" s="174"/>
      <c r="B28" s="175" t="s">
        <v>116</v>
      </c>
      <c r="C28" s="175"/>
      <c r="D28" s="176">
        <v>0</v>
      </c>
      <c r="E28" s="177">
        <f>FACTORS!$I$2*D28</f>
        <v>0</v>
      </c>
      <c r="F28" s="178">
        <f t="shared" si="14"/>
        <v>0</v>
      </c>
      <c r="G28" s="176">
        <v>0</v>
      </c>
      <c r="H28" s="180">
        <v>0</v>
      </c>
      <c r="I28" s="184">
        <f>FACTORS!$C$17*D28/453.592</f>
        <v>0</v>
      </c>
      <c r="J28" s="181">
        <f>FACTORS!$D$17*D28/453.592</f>
        <v>0</v>
      </c>
      <c r="K28" s="246">
        <f>FACTORS!$E$17*D28/453.592</f>
        <v>0</v>
      </c>
      <c r="L28" s="181">
        <f>FACTORS!$F$17*D28/453.592</f>
        <v>0</v>
      </c>
      <c r="M28" s="181">
        <f>FACTORS!$G$17*D28/453.592</f>
        <v>0</v>
      </c>
      <c r="N28" s="178">
        <f>FACTORS!$H$17*D28/453.592</f>
        <v>0</v>
      </c>
      <c r="O28" s="181">
        <f>FACTORS!$I$17*D28/453.592</f>
        <v>0</v>
      </c>
      <c r="P28" s="181">
        <f>FACTORS!$J$17*D28/453.592</f>
        <v>0</v>
      </c>
      <c r="Q28" s="191">
        <f>FACTORS!$K$17*D28/453.592</f>
        <v>0</v>
      </c>
      <c r="R28" s="184">
        <f t="shared" si="15"/>
        <v>0</v>
      </c>
      <c r="S28" s="181">
        <f t="shared" si="15"/>
        <v>0</v>
      </c>
      <c r="T28" s="181">
        <f t="shared" si="15"/>
        <v>0</v>
      </c>
      <c r="U28" s="181">
        <f t="shared" si="15"/>
        <v>0</v>
      </c>
      <c r="V28" s="181">
        <f t="shared" si="15"/>
        <v>0</v>
      </c>
      <c r="W28" s="181">
        <f t="shared" si="15"/>
        <v>0</v>
      </c>
      <c r="X28" s="181">
        <f t="shared" si="16"/>
        <v>0</v>
      </c>
      <c r="Y28" s="181">
        <f t="shared" si="17"/>
        <v>0</v>
      </c>
      <c r="Z28" s="182">
        <f t="shared" si="18"/>
        <v>0</v>
      </c>
      <c r="AA28" s="256"/>
      <c r="AB28" s="256"/>
      <c r="AC28" s="256"/>
      <c r="AD28" s="256"/>
      <c r="AE28" s="256"/>
      <c r="AF28" s="256"/>
      <c r="AG28" s="256"/>
      <c r="AH28" s="256"/>
      <c r="AI28" s="256"/>
      <c r="AJ28" s="256"/>
      <c r="AK28" s="256"/>
      <c r="AL28" s="256"/>
      <c r="AM28" s="256"/>
      <c r="AN28" s="256"/>
      <c r="AO28" s="256"/>
      <c r="AP28" s="256"/>
      <c r="AQ28" s="256"/>
      <c r="AR28" s="256"/>
    </row>
    <row r="29" spans="1:44" s="183" customFormat="1" ht="12.75" customHeight="1" x14ac:dyDescent="0.2">
      <c r="A29" s="174" t="s">
        <v>63</v>
      </c>
      <c r="B29" s="175" t="s">
        <v>118</v>
      </c>
      <c r="C29" s="175"/>
      <c r="D29" s="176">
        <v>0</v>
      </c>
      <c r="E29" s="177">
        <f>FACTORS!$I$2*D29</f>
        <v>0</v>
      </c>
      <c r="F29" s="178">
        <f t="shared" si="14"/>
        <v>0</v>
      </c>
      <c r="G29" s="179">
        <v>0</v>
      </c>
      <c r="H29" s="180">
        <v>0</v>
      </c>
      <c r="I29" s="184">
        <f>FACTORS!$C$17*D29/453.592</f>
        <v>0</v>
      </c>
      <c r="J29" s="181">
        <f>FACTORS!$D$17*D29/453.592</f>
        <v>0</v>
      </c>
      <c r="K29" s="246">
        <f>FACTORS!$E$17*D29/453.592</f>
        <v>0</v>
      </c>
      <c r="L29" s="181">
        <f>FACTORS!$F$17*D29/453.592</f>
        <v>0</v>
      </c>
      <c r="M29" s="181">
        <f>FACTORS!$G$17*D29/453.592</f>
        <v>0</v>
      </c>
      <c r="N29" s="178">
        <f>FACTORS!$H$17*D29/453.592</f>
        <v>0</v>
      </c>
      <c r="O29" s="181">
        <f>FACTORS!$I$17*D29/453.592</f>
        <v>0</v>
      </c>
      <c r="P29" s="181">
        <f>FACTORS!$J$17*D29/453.592</f>
        <v>0</v>
      </c>
      <c r="Q29" s="191">
        <f>FACTORS!$K$17*D29/453.592</f>
        <v>0</v>
      </c>
      <c r="R29" s="184">
        <f t="shared" si="15"/>
        <v>0</v>
      </c>
      <c r="S29" s="181">
        <f t="shared" si="15"/>
        <v>0</v>
      </c>
      <c r="T29" s="181">
        <f t="shared" si="15"/>
        <v>0</v>
      </c>
      <c r="U29" s="181">
        <f t="shared" si="15"/>
        <v>0</v>
      </c>
      <c r="V29" s="181">
        <f t="shared" si="15"/>
        <v>0</v>
      </c>
      <c r="W29" s="181">
        <f t="shared" si="15"/>
        <v>0</v>
      </c>
      <c r="X29" s="181">
        <f t="shared" si="16"/>
        <v>0</v>
      </c>
      <c r="Y29" s="181">
        <f t="shared" si="17"/>
        <v>0</v>
      </c>
      <c r="Z29" s="182">
        <f t="shared" si="18"/>
        <v>0</v>
      </c>
      <c r="AA29" s="256"/>
      <c r="AB29" s="256"/>
      <c r="AC29" s="256"/>
      <c r="AD29" s="256"/>
      <c r="AE29" s="256"/>
      <c r="AF29" s="256"/>
      <c r="AG29" s="256"/>
      <c r="AH29" s="256"/>
      <c r="AI29" s="256"/>
      <c r="AJ29" s="256"/>
      <c r="AK29" s="256"/>
      <c r="AL29" s="256"/>
      <c r="AM29" s="256"/>
      <c r="AN29" s="256"/>
      <c r="AO29" s="256"/>
      <c r="AP29" s="256"/>
      <c r="AQ29" s="256"/>
      <c r="AR29" s="256"/>
    </row>
    <row r="30" spans="1:44" s="183" customFormat="1" ht="12.75" customHeight="1" x14ac:dyDescent="0.2">
      <c r="A30" s="174" t="s">
        <v>62</v>
      </c>
      <c r="B30" s="175" t="s">
        <v>117</v>
      </c>
      <c r="C30" s="175"/>
      <c r="D30" s="176">
        <v>0</v>
      </c>
      <c r="E30" s="177">
        <f>FACTORS!$I$2*D30</f>
        <v>0</v>
      </c>
      <c r="F30" s="178">
        <f t="shared" si="14"/>
        <v>0</v>
      </c>
      <c r="G30" s="179">
        <v>0</v>
      </c>
      <c r="H30" s="180">
        <v>0</v>
      </c>
      <c r="I30" s="184">
        <f>FACTORS!$C$17*D30/453.592</f>
        <v>0</v>
      </c>
      <c r="J30" s="181">
        <f>FACTORS!$D$17*D30/453.592</f>
        <v>0</v>
      </c>
      <c r="K30" s="246">
        <f>FACTORS!$E$17*D30/453.592</f>
        <v>0</v>
      </c>
      <c r="L30" s="181">
        <f>FACTORS!$F$17*D30/453.592</f>
        <v>0</v>
      </c>
      <c r="M30" s="181">
        <f>FACTORS!$G$17*D30/453.592</f>
        <v>0</v>
      </c>
      <c r="N30" s="178">
        <f>FACTORS!$H$17*D30/453.592</f>
        <v>0</v>
      </c>
      <c r="O30" s="181">
        <f>FACTORS!$I$17*D30/453.592</f>
        <v>0</v>
      </c>
      <c r="P30" s="181">
        <f>FACTORS!$J$17*D30/453.592</f>
        <v>0</v>
      </c>
      <c r="Q30" s="191">
        <f>FACTORS!$K$17*D30/453.592</f>
        <v>0</v>
      </c>
      <c r="R30" s="184">
        <f t="shared" si="15"/>
        <v>0</v>
      </c>
      <c r="S30" s="181">
        <f t="shared" si="15"/>
        <v>0</v>
      </c>
      <c r="T30" s="181">
        <f t="shared" si="15"/>
        <v>0</v>
      </c>
      <c r="U30" s="181">
        <f t="shared" si="15"/>
        <v>0</v>
      </c>
      <c r="V30" s="181">
        <f t="shared" si="15"/>
        <v>0</v>
      </c>
      <c r="W30" s="181">
        <f t="shared" si="15"/>
        <v>0</v>
      </c>
      <c r="X30" s="181">
        <f t="shared" si="16"/>
        <v>0</v>
      </c>
      <c r="Y30" s="181">
        <f t="shared" si="17"/>
        <v>0</v>
      </c>
      <c r="Z30" s="182">
        <f t="shared" si="18"/>
        <v>0</v>
      </c>
      <c r="AA30" s="256"/>
      <c r="AB30" s="256"/>
      <c r="AC30" s="256"/>
      <c r="AD30" s="256"/>
      <c r="AE30" s="256"/>
      <c r="AF30" s="256"/>
      <c r="AG30" s="256"/>
      <c r="AH30" s="256"/>
      <c r="AI30" s="256"/>
      <c r="AJ30" s="256"/>
      <c r="AK30" s="256"/>
      <c r="AL30" s="256"/>
      <c r="AM30" s="256"/>
      <c r="AN30" s="256"/>
      <c r="AO30" s="256"/>
      <c r="AP30" s="256"/>
      <c r="AQ30" s="256"/>
      <c r="AR30" s="256"/>
    </row>
    <row r="31" spans="1:44" s="183" customFormat="1" x14ac:dyDescent="0.2">
      <c r="A31" s="174"/>
      <c r="B31" s="175" t="s">
        <v>115</v>
      </c>
      <c r="C31" s="175"/>
      <c r="D31" s="176">
        <v>0</v>
      </c>
      <c r="E31" s="177">
        <f>FACTORS!$I$2*D31</f>
        <v>0</v>
      </c>
      <c r="F31" s="178">
        <f t="shared" si="14"/>
        <v>0</v>
      </c>
      <c r="G31" s="176">
        <v>0</v>
      </c>
      <c r="H31" s="180">
        <v>0</v>
      </c>
      <c r="I31" s="184">
        <f>FACTORS!$C$17*D31/453.592</f>
        <v>0</v>
      </c>
      <c r="J31" s="181">
        <f>FACTORS!$D$17*D31/453.592</f>
        <v>0</v>
      </c>
      <c r="K31" s="246">
        <f>FACTORS!$E$17*D31/453.592</f>
        <v>0</v>
      </c>
      <c r="L31" s="181">
        <f>FACTORS!$F$17*D31/453.592</f>
        <v>0</v>
      </c>
      <c r="M31" s="181">
        <f>FACTORS!$G$17*D31/453.592</f>
        <v>0</v>
      </c>
      <c r="N31" s="178">
        <f>FACTORS!$H$17*D31/453.592</f>
        <v>0</v>
      </c>
      <c r="O31" s="181">
        <f>FACTORS!$I$17*D31/453.592</f>
        <v>0</v>
      </c>
      <c r="P31" s="181">
        <f>FACTORS!$J$17*D31/453.592</f>
        <v>0</v>
      </c>
      <c r="Q31" s="191">
        <f>FACTORS!$K$17*D31/453.592</f>
        <v>0</v>
      </c>
      <c r="R31" s="184">
        <f t="shared" si="15"/>
        <v>0</v>
      </c>
      <c r="S31" s="181">
        <f t="shared" si="15"/>
        <v>0</v>
      </c>
      <c r="T31" s="181">
        <f t="shared" si="15"/>
        <v>0</v>
      </c>
      <c r="U31" s="181">
        <f t="shared" si="15"/>
        <v>0</v>
      </c>
      <c r="V31" s="181">
        <f t="shared" si="15"/>
        <v>0</v>
      </c>
      <c r="W31" s="181">
        <f t="shared" si="15"/>
        <v>0</v>
      </c>
      <c r="X31" s="181">
        <f t="shared" si="16"/>
        <v>0</v>
      </c>
      <c r="Y31" s="181">
        <f t="shared" si="17"/>
        <v>0</v>
      </c>
      <c r="Z31" s="182">
        <f t="shared" si="18"/>
        <v>0</v>
      </c>
      <c r="AA31" s="256"/>
      <c r="AB31" s="256"/>
      <c r="AC31" s="256"/>
      <c r="AD31" s="256"/>
      <c r="AE31" s="256"/>
      <c r="AF31" s="256"/>
      <c r="AG31" s="256"/>
      <c r="AH31" s="256"/>
      <c r="AI31" s="256"/>
      <c r="AJ31" s="256"/>
      <c r="AK31" s="256"/>
      <c r="AL31" s="256"/>
      <c r="AM31" s="256"/>
      <c r="AN31" s="256"/>
      <c r="AO31" s="256"/>
      <c r="AP31" s="256"/>
      <c r="AQ31" s="256"/>
      <c r="AR31" s="256"/>
    </row>
    <row r="32" spans="1:44" s="183" customFormat="1" ht="12.75" customHeight="1" x14ac:dyDescent="0.2">
      <c r="A32" s="339" t="s">
        <v>64</v>
      </c>
      <c r="B32" s="340" t="s">
        <v>119</v>
      </c>
      <c r="C32" s="340"/>
      <c r="D32" s="341">
        <v>0</v>
      </c>
      <c r="E32" s="342">
        <f>FACTORS!$I$2*D32</f>
        <v>0</v>
      </c>
      <c r="F32" s="343">
        <f t="shared" si="14"/>
        <v>0</v>
      </c>
      <c r="G32" s="344">
        <v>0</v>
      </c>
      <c r="H32" s="345">
        <v>0</v>
      </c>
      <c r="I32" s="346">
        <f>FACTORS!$C$17*D32/453.592</f>
        <v>0</v>
      </c>
      <c r="J32" s="347">
        <f>FACTORS!$D$17*D32/453.592</f>
        <v>0</v>
      </c>
      <c r="K32" s="427">
        <f>FACTORS!$E$17*D32/453.592</f>
        <v>0</v>
      </c>
      <c r="L32" s="347">
        <f>FACTORS!$F$17*D32/453.592</f>
        <v>0</v>
      </c>
      <c r="M32" s="347">
        <f>FACTORS!$G$17*D32/453.592</f>
        <v>0</v>
      </c>
      <c r="N32" s="343">
        <f>FACTORS!$H$17*D32/453.592</f>
        <v>0</v>
      </c>
      <c r="O32" s="347">
        <f>FACTORS!$I$17*D32/453.592</f>
        <v>0</v>
      </c>
      <c r="P32" s="347">
        <f>FACTORS!$J$17*D32/453.592</f>
        <v>0</v>
      </c>
      <c r="Q32" s="348">
        <f>FACTORS!$K$17*D32/453.592</f>
        <v>0</v>
      </c>
      <c r="R32" s="346">
        <f t="shared" si="15"/>
        <v>0</v>
      </c>
      <c r="S32" s="347">
        <f t="shared" si="15"/>
        <v>0</v>
      </c>
      <c r="T32" s="347">
        <f>IF(K32=0,0,K32*($F32/($E32*24))*$G32*$H32/2000)</f>
        <v>0</v>
      </c>
      <c r="U32" s="347">
        <f t="shared" si="15"/>
        <v>0</v>
      </c>
      <c r="V32" s="347">
        <f t="shared" si="15"/>
        <v>0</v>
      </c>
      <c r="W32" s="347">
        <f t="shared" si="15"/>
        <v>0</v>
      </c>
      <c r="X32" s="347">
        <f t="shared" si="16"/>
        <v>0</v>
      </c>
      <c r="Y32" s="347">
        <f t="shared" si="17"/>
        <v>0</v>
      </c>
      <c r="Z32" s="349">
        <f t="shared" si="18"/>
        <v>0</v>
      </c>
      <c r="AA32" s="256"/>
      <c r="AB32" s="256"/>
      <c r="AC32" s="256"/>
      <c r="AD32" s="256"/>
      <c r="AE32" s="256"/>
      <c r="AF32" s="256"/>
      <c r="AG32" s="256"/>
      <c r="AH32" s="256"/>
      <c r="AI32" s="256"/>
      <c r="AJ32" s="256"/>
      <c r="AK32" s="256"/>
      <c r="AL32" s="256"/>
      <c r="AM32" s="256"/>
      <c r="AN32" s="256"/>
      <c r="AO32" s="256"/>
      <c r="AP32" s="256"/>
      <c r="AQ32" s="256"/>
      <c r="AR32" s="256"/>
    </row>
    <row r="33" spans="1:44" ht="27.75" customHeight="1" x14ac:dyDescent="0.2">
      <c r="A33" s="361" t="s">
        <v>184</v>
      </c>
      <c r="B33" s="363" t="s">
        <v>107</v>
      </c>
      <c r="C33" s="111"/>
      <c r="D33" s="122"/>
      <c r="E33" s="42" t="s">
        <v>53</v>
      </c>
      <c r="F33" s="43" t="s">
        <v>54</v>
      </c>
      <c r="G33" s="50"/>
      <c r="H33" s="119"/>
      <c r="I33" s="158"/>
      <c r="J33" s="387"/>
      <c r="K33" s="416"/>
      <c r="L33" s="153"/>
      <c r="M33" s="153"/>
      <c r="N33" s="73"/>
      <c r="O33" s="153"/>
      <c r="P33" s="153"/>
      <c r="Q33" s="120"/>
      <c r="R33" s="158"/>
      <c r="S33" s="387"/>
      <c r="T33" s="387"/>
      <c r="U33" s="153"/>
      <c r="V33" s="153"/>
      <c r="W33" s="153"/>
      <c r="X33" s="153"/>
      <c r="Y33" s="153"/>
      <c r="Z33" s="322"/>
    </row>
    <row r="34" spans="1:44" ht="12.75" customHeight="1" x14ac:dyDescent="0.2">
      <c r="A34" s="330"/>
      <c r="B34" s="364" t="s">
        <v>148</v>
      </c>
      <c r="C34" s="333"/>
      <c r="D34" s="334" t="s">
        <v>132</v>
      </c>
      <c r="E34" s="74"/>
      <c r="F34" s="74"/>
      <c r="G34" s="335"/>
      <c r="H34" s="336"/>
      <c r="I34" s="337"/>
      <c r="J34" s="423"/>
      <c r="K34" s="424"/>
      <c r="L34" s="68"/>
      <c r="M34" s="68"/>
      <c r="N34" s="329"/>
      <c r="O34" s="68"/>
      <c r="P34" s="68"/>
      <c r="Q34" s="338"/>
      <c r="R34" s="337"/>
      <c r="S34" s="423"/>
      <c r="T34" s="423"/>
      <c r="U34" s="68"/>
      <c r="V34" s="68"/>
      <c r="W34" s="68"/>
      <c r="X34" s="68"/>
      <c r="Y34" s="68"/>
      <c r="Z34" s="69"/>
    </row>
    <row r="35" spans="1:44" ht="12.75" customHeight="1" x14ac:dyDescent="0.2">
      <c r="A35" s="330"/>
      <c r="B35" s="363" t="s">
        <v>160</v>
      </c>
      <c r="C35" s="157"/>
      <c r="D35" s="122" t="s">
        <v>100</v>
      </c>
      <c r="E35" s="74"/>
      <c r="F35" s="74"/>
      <c r="G35" s="70" t="s">
        <v>60</v>
      </c>
      <c r="H35" s="119" t="s">
        <v>71</v>
      </c>
      <c r="I35" s="158"/>
      <c r="J35" s="387"/>
      <c r="K35" s="416"/>
      <c r="L35" s="153"/>
      <c r="M35" s="153"/>
      <c r="N35" s="73"/>
      <c r="O35" s="153"/>
      <c r="P35" s="153"/>
      <c r="Q35" s="120"/>
      <c r="R35" s="319"/>
      <c r="S35" s="423"/>
      <c r="T35" s="424"/>
      <c r="U35" s="68"/>
      <c r="V35" s="68"/>
      <c r="W35" s="68"/>
      <c r="X35" s="68"/>
      <c r="Y35" s="68"/>
      <c r="Z35" s="69"/>
    </row>
    <row r="36" spans="1:44" s="183" customFormat="1" ht="12.75" customHeight="1" x14ac:dyDescent="0.2">
      <c r="A36" s="174"/>
      <c r="B36" s="242" t="s">
        <v>153</v>
      </c>
      <c r="C36" s="323"/>
      <c r="D36" s="244"/>
      <c r="E36" s="176">
        <v>0</v>
      </c>
      <c r="F36" s="245">
        <f>E36*24</f>
        <v>0</v>
      </c>
      <c r="G36" s="176">
        <v>0</v>
      </c>
      <c r="H36" s="180">
        <v>0</v>
      </c>
      <c r="I36" s="184">
        <f>IFERROR(FACTORS!$C$34*E36,"--")</f>
        <v>0</v>
      </c>
      <c r="J36" s="181">
        <f>IFERROR(FACTORS!$D$34*E36,"--")</f>
        <v>0</v>
      </c>
      <c r="K36" s="246">
        <f>IFERROR(FACTORS!$E$34*E36,"--")</f>
        <v>0</v>
      </c>
      <c r="L36" s="178">
        <f>IFERROR(FACTORS!$F$34*E36,"--")</f>
        <v>0</v>
      </c>
      <c r="M36" s="178">
        <f>IFERROR(FACTORS!$G$34*E36,"--")</f>
        <v>0</v>
      </c>
      <c r="N36" s="178">
        <f>IFERROR(FACTORS!$H$34*E36,"--")</f>
        <v>0</v>
      </c>
      <c r="O36" s="181" t="str">
        <f>IFERROR(FACTORS!$I$34*E36,"--")</f>
        <v>--</v>
      </c>
      <c r="P36" s="181">
        <f>IFERROR(FACTORS!$J$34*E36,"--")</f>
        <v>0</v>
      </c>
      <c r="Q36" s="191">
        <f>IFERROR(FACTORS!$K$34*E36,"--")</f>
        <v>0</v>
      </c>
      <c r="R36" s="331">
        <f t="shared" ref="R36:S42" si="19">IFERROR((I36*$G36*$H36)/2000, "")</f>
        <v>0</v>
      </c>
      <c r="S36" s="332">
        <f>IFERROR((J36*$G36*$H36)/2000, "")</f>
        <v>0</v>
      </c>
      <c r="T36" s="317">
        <f t="shared" ref="T36:W43" si="20">IFERROR((K36*$G36*$H36)/2000, "")</f>
        <v>0</v>
      </c>
      <c r="U36" s="317">
        <f t="shared" si="20"/>
        <v>0</v>
      </c>
      <c r="V36" s="317">
        <f t="shared" si="20"/>
        <v>0</v>
      </c>
      <c r="W36" s="317">
        <f t="shared" si="20"/>
        <v>0</v>
      </c>
      <c r="X36" s="317" t="str">
        <f t="shared" ref="X36:X43" si="21">IFERROR((O36*$G36*$H36)/2000, "--")</f>
        <v>--</v>
      </c>
      <c r="Y36" s="317">
        <f t="shared" ref="Y36:Z43" si="22">IFERROR((P36*$G36*$H36)/2000, "")</f>
        <v>0</v>
      </c>
      <c r="Z36" s="318">
        <f t="shared" si="22"/>
        <v>0</v>
      </c>
      <c r="AA36" s="256"/>
      <c r="AB36" s="256"/>
      <c r="AC36" s="256"/>
      <c r="AD36" s="256"/>
      <c r="AE36" s="256"/>
      <c r="AF36" s="256"/>
      <c r="AG36" s="256"/>
      <c r="AH36" s="256"/>
      <c r="AI36" s="256"/>
      <c r="AJ36" s="256"/>
      <c r="AK36" s="256"/>
      <c r="AL36" s="256"/>
      <c r="AM36" s="256"/>
      <c r="AN36" s="256"/>
      <c r="AO36" s="256"/>
      <c r="AP36" s="256"/>
      <c r="AQ36" s="256"/>
      <c r="AR36" s="256"/>
    </row>
    <row r="37" spans="1:44" s="183" customFormat="1" ht="12.75" customHeight="1" x14ac:dyDescent="0.2">
      <c r="A37" s="174"/>
      <c r="B37" s="242" t="s">
        <v>87</v>
      </c>
      <c r="C37" s="243"/>
      <c r="D37" s="244"/>
      <c r="E37" s="176">
        <v>0</v>
      </c>
      <c r="F37" s="245">
        <f>E37*24</f>
        <v>0</v>
      </c>
      <c r="G37" s="176">
        <v>0</v>
      </c>
      <c r="H37" s="180">
        <v>0</v>
      </c>
      <c r="I37" s="184">
        <f>IFERROR(FACTORS!$C$35*E37,"--")</f>
        <v>0</v>
      </c>
      <c r="J37" s="181">
        <f>IFERROR(FACTORS!$D$35*E37,"--")</f>
        <v>0</v>
      </c>
      <c r="K37" s="246">
        <f>IFERROR(FACTORS!$E$35*E37,"--")</f>
        <v>0</v>
      </c>
      <c r="L37" s="178">
        <f>IFERROR(FACTORS!$F$35*E37,"--")</f>
        <v>0</v>
      </c>
      <c r="M37" s="178">
        <f>IFERROR(FACTORS!$G$35*E37,"--")</f>
        <v>0</v>
      </c>
      <c r="N37" s="178">
        <f>IFERROR(FACTORS!$H$35*E37,"--")</f>
        <v>0</v>
      </c>
      <c r="O37" s="181" t="str">
        <f>IFERROR(FACTORS!$I$35*E37,"--")</f>
        <v>--</v>
      </c>
      <c r="P37" s="181">
        <f>IFERROR(FACTORS!$J$35*E37,"--")</f>
        <v>0</v>
      </c>
      <c r="Q37" s="191">
        <f>IFERROR(FACTORS!$K$35*E37,"--")</f>
        <v>0</v>
      </c>
      <c r="R37" s="184">
        <f t="shared" si="19"/>
        <v>0</v>
      </c>
      <c r="S37" s="181">
        <f t="shared" si="19"/>
        <v>0</v>
      </c>
      <c r="T37" s="246">
        <f t="shared" si="20"/>
        <v>0</v>
      </c>
      <c r="U37" s="246">
        <f t="shared" si="20"/>
        <v>0</v>
      </c>
      <c r="V37" s="246">
        <f t="shared" si="20"/>
        <v>0</v>
      </c>
      <c r="W37" s="246">
        <f t="shared" si="20"/>
        <v>0</v>
      </c>
      <c r="X37" s="246" t="str">
        <f t="shared" si="21"/>
        <v>--</v>
      </c>
      <c r="Y37" s="246">
        <f t="shared" si="22"/>
        <v>0</v>
      </c>
      <c r="Z37" s="182">
        <f t="shared" si="22"/>
        <v>0</v>
      </c>
      <c r="AA37" s="256"/>
      <c r="AB37" s="256"/>
      <c r="AC37" s="256"/>
      <c r="AD37" s="256"/>
      <c r="AE37" s="256"/>
      <c r="AF37" s="256"/>
      <c r="AG37" s="256"/>
      <c r="AH37" s="256"/>
      <c r="AI37" s="256"/>
      <c r="AJ37" s="256"/>
      <c r="AK37" s="256"/>
      <c r="AL37" s="256"/>
      <c r="AM37" s="256"/>
      <c r="AN37" s="256"/>
      <c r="AO37" s="256"/>
      <c r="AP37" s="256"/>
      <c r="AQ37" s="256"/>
      <c r="AR37" s="256"/>
    </row>
    <row r="38" spans="1:44" s="183" customFormat="1" ht="12.75" customHeight="1" x14ac:dyDescent="0.2">
      <c r="A38" s="174"/>
      <c r="B38" s="242" t="s">
        <v>102</v>
      </c>
      <c r="C38" s="243"/>
      <c r="D38" s="244"/>
      <c r="E38" s="176">
        <v>0</v>
      </c>
      <c r="F38" s="245">
        <f t="shared" ref="F38:F41" si="23">E38*24</f>
        <v>0</v>
      </c>
      <c r="G38" s="176">
        <v>0</v>
      </c>
      <c r="H38" s="180">
        <v>0</v>
      </c>
      <c r="I38" s="184">
        <f>IFERROR(FACTORS!$C$36*E38,"--")</f>
        <v>0</v>
      </c>
      <c r="J38" s="181">
        <f>IFERROR(FACTORS!$D$36*E38,"--")</f>
        <v>0</v>
      </c>
      <c r="K38" s="246">
        <f>IFERROR(FACTORS!$E$36*E38,"--")</f>
        <v>0</v>
      </c>
      <c r="L38" s="178">
        <f>IFERROR(FACTORS!$F$36*E38,"--")</f>
        <v>0</v>
      </c>
      <c r="M38" s="178">
        <f>IFERROR(FACTORS!$G$36*E38,"--")</f>
        <v>0</v>
      </c>
      <c r="N38" s="178">
        <f>IFERROR(FACTORS!$H$36*E38,"--")</f>
        <v>0</v>
      </c>
      <c r="O38" s="181" t="str">
        <f>IFERROR(FACTORS!$I$36*E38,"--")</f>
        <v>--</v>
      </c>
      <c r="P38" s="181">
        <f>IFERROR(FACTORS!$J$36*E38,"--")</f>
        <v>0</v>
      </c>
      <c r="Q38" s="191">
        <f>IFERROR(FACTORS!$K$36*E38,"--")</f>
        <v>0</v>
      </c>
      <c r="R38" s="184">
        <f t="shared" si="19"/>
        <v>0</v>
      </c>
      <c r="S38" s="181">
        <f t="shared" si="19"/>
        <v>0</v>
      </c>
      <c r="T38" s="246">
        <f t="shared" si="20"/>
        <v>0</v>
      </c>
      <c r="U38" s="246">
        <f t="shared" si="20"/>
        <v>0</v>
      </c>
      <c r="V38" s="246">
        <f t="shared" si="20"/>
        <v>0</v>
      </c>
      <c r="W38" s="246">
        <f t="shared" si="20"/>
        <v>0</v>
      </c>
      <c r="X38" s="246" t="str">
        <f t="shared" si="21"/>
        <v>--</v>
      </c>
      <c r="Y38" s="246">
        <f t="shared" si="22"/>
        <v>0</v>
      </c>
      <c r="Z38" s="182">
        <f t="shared" si="22"/>
        <v>0</v>
      </c>
      <c r="AA38" s="256"/>
      <c r="AB38" s="256"/>
      <c r="AC38" s="256"/>
      <c r="AD38" s="256"/>
      <c r="AE38" s="256"/>
      <c r="AF38" s="256"/>
      <c r="AG38" s="256"/>
      <c r="AH38" s="256"/>
      <c r="AI38" s="256"/>
      <c r="AJ38" s="256"/>
      <c r="AK38" s="256"/>
      <c r="AL38" s="256"/>
      <c r="AM38" s="256"/>
      <c r="AN38" s="256"/>
      <c r="AO38" s="256"/>
      <c r="AP38" s="256"/>
      <c r="AQ38" s="256"/>
      <c r="AR38" s="256"/>
    </row>
    <row r="39" spans="1:44" s="183" customFormat="1" ht="12.75" customHeight="1" x14ac:dyDescent="0.2">
      <c r="A39" s="174"/>
      <c r="B39" s="242" t="s">
        <v>154</v>
      </c>
      <c r="C39" s="243"/>
      <c r="D39" s="244"/>
      <c r="E39" s="176">
        <v>0</v>
      </c>
      <c r="F39" s="245">
        <f t="shared" si="23"/>
        <v>0</v>
      </c>
      <c r="G39" s="176">
        <v>0</v>
      </c>
      <c r="H39" s="180">
        <v>0</v>
      </c>
      <c r="I39" s="184">
        <f>IFERROR(FACTORS!$C$37*E39,"--")</f>
        <v>0</v>
      </c>
      <c r="J39" s="181">
        <f>IFERROR(FACTORS!$D$37*E39,"--")</f>
        <v>0</v>
      </c>
      <c r="K39" s="246">
        <f>IFERROR(FACTORS!$E$37*E39,"--")</f>
        <v>0</v>
      </c>
      <c r="L39" s="178">
        <f>IFERROR(FACTORS!$F$37*E39,"--")</f>
        <v>0</v>
      </c>
      <c r="M39" s="178">
        <f>IFERROR(FACTORS!$G$37*E39,"--")</f>
        <v>0</v>
      </c>
      <c r="N39" s="178">
        <f>IFERROR(FACTORS!$H$37*E39,"--")</f>
        <v>0</v>
      </c>
      <c r="O39" s="181" t="str">
        <f>IFERROR(FACTORS!$I$37*E39,"--")</f>
        <v>--</v>
      </c>
      <c r="P39" s="181">
        <f>IFERROR(FACTORS!$J$37*E39,"--")</f>
        <v>0</v>
      </c>
      <c r="Q39" s="191">
        <f>IFERROR(FACTORS!$K$37*E39,"--")</f>
        <v>0</v>
      </c>
      <c r="R39" s="184">
        <f t="shared" si="19"/>
        <v>0</v>
      </c>
      <c r="S39" s="181">
        <f t="shared" si="19"/>
        <v>0</v>
      </c>
      <c r="T39" s="246">
        <f t="shared" si="20"/>
        <v>0</v>
      </c>
      <c r="U39" s="246">
        <f t="shared" si="20"/>
        <v>0</v>
      </c>
      <c r="V39" s="246">
        <f t="shared" si="20"/>
        <v>0</v>
      </c>
      <c r="W39" s="246">
        <f t="shared" si="20"/>
        <v>0</v>
      </c>
      <c r="X39" s="246" t="str">
        <f t="shared" si="21"/>
        <v>--</v>
      </c>
      <c r="Y39" s="246">
        <f t="shared" si="22"/>
        <v>0</v>
      </c>
      <c r="Z39" s="182">
        <f t="shared" si="22"/>
        <v>0</v>
      </c>
      <c r="AA39" s="256"/>
      <c r="AB39" s="256"/>
      <c r="AC39" s="256"/>
      <c r="AD39" s="256"/>
      <c r="AE39" s="256"/>
      <c r="AF39" s="256"/>
      <c r="AG39" s="256"/>
      <c r="AH39" s="256"/>
      <c r="AI39" s="256"/>
      <c r="AJ39" s="256"/>
      <c r="AK39" s="256"/>
      <c r="AL39" s="256"/>
      <c r="AM39" s="256"/>
      <c r="AN39" s="256"/>
      <c r="AO39" s="256"/>
      <c r="AP39" s="256"/>
      <c r="AQ39" s="256"/>
      <c r="AR39" s="256"/>
    </row>
    <row r="40" spans="1:44" s="183" customFormat="1" ht="12.75" customHeight="1" x14ac:dyDescent="0.2">
      <c r="A40" s="174"/>
      <c r="B40" s="242" t="s">
        <v>89</v>
      </c>
      <c r="C40" s="243"/>
      <c r="D40" s="244"/>
      <c r="E40" s="176">
        <v>0</v>
      </c>
      <c r="F40" s="245">
        <f t="shared" si="23"/>
        <v>0</v>
      </c>
      <c r="G40" s="176">
        <v>0</v>
      </c>
      <c r="H40" s="180">
        <v>0</v>
      </c>
      <c r="I40" s="184">
        <f>IFERROR(FACTORS!$C$38*E40,"--")</f>
        <v>0</v>
      </c>
      <c r="J40" s="181">
        <f>IFERROR(FACTORS!$D$38*E40,"--")</f>
        <v>0</v>
      </c>
      <c r="K40" s="246">
        <f>IFERROR(FACTORS!$E$38*E40,"--")</f>
        <v>0</v>
      </c>
      <c r="L40" s="178">
        <f>IFERROR(FACTORS!$F$38*E40,"--")</f>
        <v>0</v>
      </c>
      <c r="M40" s="178">
        <f>IFERROR(FACTORS!$G$38*E40,"--")</f>
        <v>0</v>
      </c>
      <c r="N40" s="178">
        <f>IFERROR(FACTORS!$H$38*E40,"--")</f>
        <v>0</v>
      </c>
      <c r="O40" s="181" t="str">
        <f>IFERROR(FACTORS!$I$38*E40,"--")</f>
        <v>--</v>
      </c>
      <c r="P40" s="181">
        <f>IFERROR(FACTORS!$J$38*E40,"--")</f>
        <v>0</v>
      </c>
      <c r="Q40" s="191">
        <f>IFERROR(FACTORS!$K$38*E40,"--")</f>
        <v>0</v>
      </c>
      <c r="R40" s="184">
        <f t="shared" si="19"/>
        <v>0</v>
      </c>
      <c r="S40" s="181">
        <f t="shared" si="19"/>
        <v>0</v>
      </c>
      <c r="T40" s="246">
        <f t="shared" si="20"/>
        <v>0</v>
      </c>
      <c r="U40" s="246">
        <f t="shared" si="20"/>
        <v>0</v>
      </c>
      <c r="V40" s="246">
        <f t="shared" si="20"/>
        <v>0</v>
      </c>
      <c r="W40" s="246">
        <f t="shared" si="20"/>
        <v>0</v>
      </c>
      <c r="X40" s="246" t="str">
        <f t="shared" si="21"/>
        <v>--</v>
      </c>
      <c r="Y40" s="246">
        <f t="shared" si="22"/>
        <v>0</v>
      </c>
      <c r="Z40" s="182">
        <f t="shared" si="22"/>
        <v>0</v>
      </c>
      <c r="AA40" s="256"/>
      <c r="AB40" s="256"/>
      <c r="AC40" s="256"/>
      <c r="AD40" s="256"/>
      <c r="AE40" s="256"/>
      <c r="AF40" s="256"/>
      <c r="AG40" s="256"/>
      <c r="AH40" s="256"/>
      <c r="AI40" s="256"/>
      <c r="AJ40" s="256"/>
      <c r="AK40" s="256"/>
      <c r="AL40" s="256"/>
      <c r="AM40" s="256"/>
      <c r="AN40" s="256"/>
      <c r="AO40" s="256"/>
      <c r="AP40" s="256"/>
      <c r="AQ40" s="256"/>
      <c r="AR40" s="256"/>
    </row>
    <row r="41" spans="1:44" s="183" customFormat="1" ht="12.75" customHeight="1" x14ac:dyDescent="0.2">
      <c r="A41" s="174"/>
      <c r="B41" s="242" t="s">
        <v>103</v>
      </c>
      <c r="C41" s="243"/>
      <c r="D41" s="244"/>
      <c r="E41" s="176">
        <v>0</v>
      </c>
      <c r="F41" s="245">
        <f t="shared" si="23"/>
        <v>0</v>
      </c>
      <c r="G41" s="176">
        <v>0</v>
      </c>
      <c r="H41" s="180">
        <v>0</v>
      </c>
      <c r="I41" s="184">
        <f>IFERROR(FACTORS!$C$39*E41,"--")</f>
        <v>0</v>
      </c>
      <c r="J41" s="181">
        <f>IFERROR(FACTORS!$D$39*E41,"--")</f>
        <v>0</v>
      </c>
      <c r="K41" s="246">
        <f>IFERROR(FACTORS!$E$39*E41,"--")</f>
        <v>0</v>
      </c>
      <c r="L41" s="178">
        <f>IFERROR(FACTORS!$F$39*E41,"--")</f>
        <v>0</v>
      </c>
      <c r="M41" s="178">
        <f>IFERROR(FACTORS!$G$39*E41,"--")</f>
        <v>0</v>
      </c>
      <c r="N41" s="178">
        <f>IFERROR(FACTORS!$H$39*E41,"--")</f>
        <v>0</v>
      </c>
      <c r="O41" s="181" t="str">
        <f>IFERROR(FACTORS!$I$39*E41,"--")</f>
        <v>--</v>
      </c>
      <c r="P41" s="181">
        <f>IFERROR(FACTORS!$J$39*E41,"--")</f>
        <v>0</v>
      </c>
      <c r="Q41" s="191">
        <f>IFERROR(FACTORS!$K$39*E41,"--")</f>
        <v>0</v>
      </c>
      <c r="R41" s="184">
        <f t="shared" si="19"/>
        <v>0</v>
      </c>
      <c r="S41" s="181">
        <f t="shared" si="19"/>
        <v>0</v>
      </c>
      <c r="T41" s="246">
        <f t="shared" si="20"/>
        <v>0</v>
      </c>
      <c r="U41" s="246">
        <f t="shared" si="20"/>
        <v>0</v>
      </c>
      <c r="V41" s="246">
        <f t="shared" si="20"/>
        <v>0</v>
      </c>
      <c r="W41" s="246">
        <f t="shared" si="20"/>
        <v>0</v>
      </c>
      <c r="X41" s="246" t="str">
        <f t="shared" si="21"/>
        <v>--</v>
      </c>
      <c r="Y41" s="246">
        <f t="shared" si="22"/>
        <v>0</v>
      </c>
      <c r="Z41" s="182">
        <f t="shared" si="22"/>
        <v>0</v>
      </c>
      <c r="AA41" s="256"/>
      <c r="AB41" s="256"/>
      <c r="AC41" s="256"/>
      <c r="AD41" s="256"/>
      <c r="AE41" s="256"/>
      <c r="AF41" s="256"/>
      <c r="AG41" s="256"/>
      <c r="AH41" s="256"/>
      <c r="AI41" s="256"/>
      <c r="AJ41" s="256"/>
      <c r="AK41" s="256"/>
      <c r="AL41" s="256"/>
      <c r="AM41" s="256"/>
      <c r="AN41" s="256"/>
      <c r="AO41" s="256"/>
      <c r="AP41" s="256"/>
      <c r="AQ41" s="256"/>
      <c r="AR41" s="256"/>
    </row>
    <row r="42" spans="1:44" s="183" customFormat="1" ht="12.75" customHeight="1" x14ac:dyDescent="0.2">
      <c r="A42" s="174"/>
      <c r="B42" s="242" t="s">
        <v>91</v>
      </c>
      <c r="C42" s="243"/>
      <c r="D42" s="176">
        <v>0</v>
      </c>
      <c r="E42" s="74"/>
      <c r="F42" s="74"/>
      <c r="G42" s="179">
        <v>0</v>
      </c>
      <c r="H42" s="180">
        <v>0</v>
      </c>
      <c r="I42" s="184">
        <f>(FACTORS!$C$40*D42*2000)/24</f>
        <v>0</v>
      </c>
      <c r="J42" s="181">
        <f>(FACTORS!$D$40*D42*2000)/24</f>
        <v>0</v>
      </c>
      <c r="K42" s="246">
        <f>(FACTORS!$E$40*D42*2000)/24</f>
        <v>0</v>
      </c>
      <c r="L42" s="178">
        <f>(FACTORS!$F$40*D42*2000)/24</f>
        <v>0</v>
      </c>
      <c r="M42" s="178">
        <f>(FACTORS!$G$40*D42*2000)/24</f>
        <v>0</v>
      </c>
      <c r="N42" s="178">
        <f>(FACTORS!$H$40*D42*2000)/24</f>
        <v>0</v>
      </c>
      <c r="O42" s="181" t="str">
        <f>IFERROR((FACTORS!$I$40*D42*2000)/24,"--")</f>
        <v>--</v>
      </c>
      <c r="P42" s="181">
        <f>IFERROR((FACTORS!$J$40*D42*2000)/24,"--")</f>
        <v>0</v>
      </c>
      <c r="Q42" s="191" t="str">
        <f>IFERROR((FACTORS!$K$40*D42*2000)/24,"--")</f>
        <v>--</v>
      </c>
      <c r="R42" s="184">
        <f t="shared" si="19"/>
        <v>0</v>
      </c>
      <c r="S42" s="181">
        <f t="shared" si="19"/>
        <v>0</v>
      </c>
      <c r="T42" s="246">
        <f t="shared" si="20"/>
        <v>0</v>
      </c>
      <c r="U42" s="246">
        <f t="shared" si="20"/>
        <v>0</v>
      </c>
      <c r="V42" s="246">
        <f t="shared" si="20"/>
        <v>0</v>
      </c>
      <c r="W42" s="246">
        <f t="shared" si="20"/>
        <v>0</v>
      </c>
      <c r="X42" s="246" t="str">
        <f t="shared" si="21"/>
        <v>--</v>
      </c>
      <c r="Y42" s="246">
        <f t="shared" si="22"/>
        <v>0</v>
      </c>
      <c r="Z42" s="182" t="str">
        <f t="shared" si="22"/>
        <v/>
      </c>
      <c r="AA42" s="256"/>
      <c r="AB42" s="256"/>
      <c r="AC42" s="256"/>
      <c r="AD42" s="256"/>
      <c r="AE42" s="256"/>
      <c r="AF42" s="256"/>
      <c r="AG42" s="256"/>
      <c r="AH42" s="256"/>
      <c r="AI42" s="256"/>
      <c r="AJ42" s="256"/>
      <c r="AK42" s="256"/>
      <c r="AL42" s="256"/>
      <c r="AM42" s="256"/>
      <c r="AN42" s="256"/>
      <c r="AO42" s="256"/>
      <c r="AP42" s="256"/>
      <c r="AQ42" s="256"/>
      <c r="AR42" s="256"/>
    </row>
    <row r="43" spans="1:44" s="183" customFormat="1" ht="12.75" customHeight="1" x14ac:dyDescent="0.2">
      <c r="A43" s="174"/>
      <c r="B43" s="274" t="s">
        <v>133</v>
      </c>
      <c r="C43" s="242"/>
      <c r="D43" s="185">
        <v>0</v>
      </c>
      <c r="E43" s="74"/>
      <c r="F43" s="74"/>
      <c r="G43" s="185">
        <v>0</v>
      </c>
      <c r="H43" s="186">
        <v>0</v>
      </c>
      <c r="I43" s="187">
        <f>FACTORS!$C$42*D43/453.592</f>
        <v>0</v>
      </c>
      <c r="J43" s="192">
        <f>FACTORS!$D$42*D43/453.592</f>
        <v>0</v>
      </c>
      <c r="K43" s="189">
        <f>FACTORS!$E$42*D43/453.592</f>
        <v>0</v>
      </c>
      <c r="L43" s="192">
        <f>FACTORS!$F$42*D43/453.592</f>
        <v>0</v>
      </c>
      <c r="M43" s="192">
        <f>FACTORS!$G$42*D43/453.592</f>
        <v>0</v>
      </c>
      <c r="N43" s="188">
        <f>FACTORS!$H$42*D43/453.592</f>
        <v>0</v>
      </c>
      <c r="O43" s="192">
        <f>IFERROR(FACTORS!$I$42*D43/453.592, "--")</f>
        <v>0</v>
      </c>
      <c r="P43" s="192">
        <f>FACTORS!$J$42*D43/453.592</f>
        <v>0</v>
      </c>
      <c r="Q43" s="193">
        <f>FACTORS!$K$42*D43/453.592</f>
        <v>0</v>
      </c>
      <c r="R43" s="187">
        <f>IFERROR((I43*$G43*$H43)/2000, "")</f>
        <v>0</v>
      </c>
      <c r="S43" s="192">
        <f>IFERROR((J43*$G43*$H43)/2000, "")</f>
        <v>0</v>
      </c>
      <c r="T43" s="189">
        <f>IFERROR((K43*$G43*$H43)/2000, "")</f>
        <v>0</v>
      </c>
      <c r="U43" s="189">
        <f t="shared" si="20"/>
        <v>0</v>
      </c>
      <c r="V43" s="189">
        <f t="shared" si="20"/>
        <v>0</v>
      </c>
      <c r="W43" s="189">
        <f t="shared" si="20"/>
        <v>0</v>
      </c>
      <c r="X43" s="189">
        <f t="shared" si="21"/>
        <v>0</v>
      </c>
      <c r="Y43" s="189">
        <f t="shared" si="22"/>
        <v>0</v>
      </c>
      <c r="Z43" s="190">
        <f t="shared" si="22"/>
        <v>0</v>
      </c>
      <c r="AA43" s="256"/>
      <c r="AB43" s="256"/>
      <c r="AC43" s="256"/>
      <c r="AD43" s="256"/>
      <c r="AE43" s="256"/>
      <c r="AF43" s="256"/>
      <c r="AG43" s="256"/>
      <c r="AH43" s="256"/>
      <c r="AI43" s="256"/>
      <c r="AJ43" s="256"/>
      <c r="AK43" s="256"/>
      <c r="AL43" s="256"/>
      <c r="AM43" s="256"/>
      <c r="AN43" s="256"/>
      <c r="AO43" s="256"/>
      <c r="AP43" s="256"/>
      <c r="AQ43" s="256"/>
      <c r="AR43" s="256"/>
    </row>
    <row r="44" spans="1:44" s="247" customFormat="1" ht="12.75" customHeight="1" x14ac:dyDescent="0.2">
      <c r="A44" s="286">
        <f>A23</f>
        <v>2021</v>
      </c>
      <c r="B44" s="287" t="s">
        <v>124</v>
      </c>
      <c r="C44" s="431"/>
      <c r="D44" s="281"/>
      <c r="E44" s="281"/>
      <c r="F44" s="282"/>
      <c r="G44" s="281"/>
      <c r="H44" s="283"/>
      <c r="I44" s="380">
        <f t="shared" ref="I44:Z44" si="24">SUM(I26:I43)</f>
        <v>0</v>
      </c>
      <c r="J44" s="428">
        <f t="shared" si="24"/>
        <v>0</v>
      </c>
      <c r="K44" s="429">
        <f t="shared" si="24"/>
        <v>0</v>
      </c>
      <c r="L44" s="284">
        <f t="shared" si="24"/>
        <v>0</v>
      </c>
      <c r="M44" s="284">
        <f t="shared" si="24"/>
        <v>0</v>
      </c>
      <c r="N44" s="284">
        <f t="shared" si="24"/>
        <v>0</v>
      </c>
      <c r="O44" s="284">
        <f t="shared" si="24"/>
        <v>0</v>
      </c>
      <c r="P44" s="284">
        <f t="shared" si="24"/>
        <v>0</v>
      </c>
      <c r="Q44" s="290">
        <f t="shared" si="24"/>
        <v>0</v>
      </c>
      <c r="R44" s="383">
        <f t="shared" si="24"/>
        <v>0</v>
      </c>
      <c r="S44" s="291">
        <f t="shared" si="24"/>
        <v>0</v>
      </c>
      <c r="T44" s="430">
        <f t="shared" si="24"/>
        <v>0</v>
      </c>
      <c r="U44" s="291">
        <f t="shared" si="24"/>
        <v>0</v>
      </c>
      <c r="V44" s="291">
        <f t="shared" si="24"/>
        <v>0</v>
      </c>
      <c r="W44" s="291">
        <f t="shared" si="24"/>
        <v>0</v>
      </c>
      <c r="X44" s="291">
        <f t="shared" si="24"/>
        <v>0</v>
      </c>
      <c r="Y44" s="291">
        <f t="shared" si="24"/>
        <v>0</v>
      </c>
      <c r="Z44" s="292">
        <f t="shared" si="24"/>
        <v>0</v>
      </c>
      <c r="AA44" s="256"/>
      <c r="AB44" s="256"/>
      <c r="AC44" s="256"/>
      <c r="AD44" s="256"/>
      <c r="AE44" s="256"/>
      <c r="AF44" s="256"/>
      <c r="AG44" s="256"/>
      <c r="AH44" s="256"/>
      <c r="AI44" s="256"/>
      <c r="AJ44" s="256"/>
      <c r="AK44" s="256"/>
      <c r="AL44" s="256"/>
      <c r="AM44" s="256"/>
      <c r="AN44" s="256"/>
      <c r="AO44" s="256"/>
      <c r="AP44" s="256"/>
      <c r="AQ44" s="256"/>
      <c r="AR44" s="256"/>
    </row>
    <row r="45" spans="1:44" ht="12.75" customHeight="1" x14ac:dyDescent="0.2">
      <c r="A45" s="77"/>
      <c r="B45" s="13"/>
      <c r="C45" s="13"/>
    </row>
    <row r="46" spans="1:44" ht="12.75" customHeight="1" x14ac:dyDescent="0.2">
      <c r="A46" s="77"/>
      <c r="B46" s="13"/>
      <c r="C46" s="13"/>
    </row>
    <row r="47" spans="1:44" ht="12.75" customHeight="1" x14ac:dyDescent="0.2">
      <c r="A47" s="77"/>
      <c r="B47" s="13"/>
      <c r="C47" s="13"/>
    </row>
    <row r="48" spans="1:44" ht="12.75" customHeight="1" x14ac:dyDescent="0.2">
      <c r="A48" s="2"/>
      <c r="B48" s="2"/>
      <c r="C48" s="2"/>
      <c r="D48" s="2"/>
      <c r="E48" s="2"/>
      <c r="F48" s="2"/>
      <c r="G48" s="2"/>
      <c r="H48" s="2"/>
      <c r="I48" s="2"/>
      <c r="J48" s="2"/>
      <c r="K48" s="2"/>
      <c r="L48" s="2"/>
      <c r="M48" s="2"/>
      <c r="N48" s="2"/>
      <c r="O48" s="2"/>
      <c r="P48" s="2"/>
      <c r="Q48" s="2"/>
      <c r="R48" s="2"/>
      <c r="S48" s="2"/>
      <c r="T48" s="2"/>
      <c r="U48" s="2"/>
      <c r="V48" s="2"/>
      <c r="W48" s="2"/>
      <c r="X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0"/>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16"/>
      <c r="Z52" s="20"/>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16"/>
      <c r="Z53" s="20"/>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16"/>
      <c r="Z54" s="19"/>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17"/>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13"/>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13"/>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13"/>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13"/>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13"/>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13"/>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13"/>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13"/>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13"/>
    </row>
    <row r="65" spans="1:25"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13"/>
    </row>
    <row r="66" spans="1:25"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13"/>
    </row>
    <row r="67" spans="1:25"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13"/>
    </row>
    <row r="68" spans="1:25"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13"/>
    </row>
    <row r="69" spans="1:25"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13"/>
    </row>
    <row r="70" spans="1:25"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13"/>
    </row>
    <row r="71" spans="1:25"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13"/>
    </row>
    <row r="72" spans="1:25"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18"/>
    </row>
    <row r="73" spans="1:25"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18"/>
    </row>
    <row r="74" spans="1:25"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18"/>
    </row>
    <row r="75" spans="1:25"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18"/>
    </row>
    <row r="76" spans="1:25"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13"/>
    </row>
    <row r="77" spans="1:25"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13"/>
    </row>
    <row r="78" spans="1:25"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13"/>
    </row>
    <row r="79" spans="1:25"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13"/>
    </row>
    <row r="80" spans="1:25"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13"/>
    </row>
    <row r="81" spans="1:25"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3"/>
    </row>
    <row r="82" spans="1:25"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row>
    <row r="83" spans="1:25"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row>
    <row r="84" spans="1:25"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row>
    <row r="85" spans="1:25"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row>
    <row r="86" spans="1:25"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row>
    <row r="87" spans="1:25"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row>
    <row r="88" spans="1:25"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row>
    <row r="89" spans="1:25"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row>
    <row r="90" spans="1:25"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row>
    <row r="91" spans="1:25"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row>
    <row r="92" spans="1:25"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row>
    <row r="93" spans="1:25"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row>
    <row r="94" spans="1:25"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row>
    <row r="95" spans="1:25"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row>
    <row r="96" spans="1:25"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18"/>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13"/>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13"/>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13"/>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13"/>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13"/>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13"/>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13"/>
    </row>
    <row r="128" spans="1:25" ht="12.75" customHeight="1" x14ac:dyDescent="0.2">
      <c r="Y128" s="13"/>
    </row>
    <row r="129" spans="25:26" ht="12.75" customHeight="1" x14ac:dyDescent="0.2">
      <c r="Y129" s="18"/>
      <c r="Z129" s="19"/>
    </row>
    <row r="130" spans="25:26" ht="12.75" customHeight="1" x14ac:dyDescent="0.2">
      <c r="Y130" s="21"/>
    </row>
    <row r="131" spans="25:26" ht="12.75" customHeight="1" x14ac:dyDescent="0.2">
      <c r="Y131" s="18"/>
    </row>
    <row r="132" spans="25:26" ht="12.75" customHeight="1" x14ac:dyDescent="0.2">
      <c r="Y132" s="13"/>
      <c r="Z132" s="19"/>
    </row>
    <row r="133" spans="25:26" ht="12.75" customHeight="1" x14ac:dyDescent="0.2">
      <c r="Y133" s="22"/>
    </row>
    <row r="141" spans="25:26" ht="12.75" customHeight="1" x14ac:dyDescent="0.2">
      <c r="Z141" s="20"/>
    </row>
    <row r="142" spans="25:26" ht="12.75" customHeight="1" x14ac:dyDescent="0.2">
      <c r="Y142" s="16"/>
      <c r="Z142" s="20"/>
    </row>
    <row r="143" spans="25:26" ht="12.75" customHeight="1" x14ac:dyDescent="0.2">
      <c r="Y143" s="16"/>
      <c r="Z143" s="20"/>
    </row>
    <row r="144" spans="25:26" ht="12.75" customHeight="1" x14ac:dyDescent="0.2">
      <c r="Y144" s="16"/>
      <c r="Z144" s="19"/>
    </row>
    <row r="145" spans="25:25" ht="12.75" customHeight="1" x14ac:dyDescent="0.2">
      <c r="Y145" s="17"/>
    </row>
    <row r="146" spans="25:25" ht="12.75" customHeight="1" x14ac:dyDescent="0.2">
      <c r="Y146" s="13"/>
    </row>
    <row r="147" spans="25:25" ht="12.75" customHeight="1" x14ac:dyDescent="0.2">
      <c r="Y147" s="13"/>
    </row>
    <row r="148" spans="25:25" ht="12.75" customHeight="1" x14ac:dyDescent="0.2">
      <c r="Y148" s="13"/>
    </row>
    <row r="149" spans="25:25" ht="12.75" customHeight="1" x14ac:dyDescent="0.2">
      <c r="Y149" s="13"/>
    </row>
    <row r="150" spans="25:25" ht="12.75" customHeight="1" x14ac:dyDescent="0.2">
      <c r="Y150" s="13"/>
    </row>
    <row r="151" spans="25:25" ht="12.75" customHeight="1" x14ac:dyDescent="0.2">
      <c r="Y151" s="13"/>
    </row>
    <row r="152" spans="25:25" ht="12.75" customHeight="1" x14ac:dyDescent="0.2">
      <c r="Y152" s="13"/>
    </row>
    <row r="153" spans="25:25" ht="12.75" customHeight="1" x14ac:dyDescent="0.2">
      <c r="Y153" s="13"/>
    </row>
    <row r="154" spans="25:25" ht="12.75" customHeight="1" x14ac:dyDescent="0.2">
      <c r="Y154" s="13"/>
    </row>
    <row r="155" spans="25:25" ht="12.75" customHeight="1" x14ac:dyDescent="0.2">
      <c r="Y155" s="13"/>
    </row>
    <row r="156" spans="25:25" ht="12.75" customHeight="1" x14ac:dyDescent="0.2">
      <c r="Y156" s="13"/>
    </row>
    <row r="157" spans="25:25" ht="12.75" customHeight="1" x14ac:dyDescent="0.2">
      <c r="Y157" s="13"/>
    </row>
    <row r="158" spans="25:25" ht="12.75" customHeight="1" x14ac:dyDescent="0.2">
      <c r="Y158" s="13"/>
    </row>
    <row r="159" spans="25:25" ht="12.75" customHeight="1" x14ac:dyDescent="0.2">
      <c r="Y159" s="13"/>
    </row>
    <row r="160" spans="25:25" ht="12.75" customHeight="1" x14ac:dyDescent="0.2">
      <c r="Y160" s="13"/>
    </row>
    <row r="161" spans="25:26" ht="12.75" customHeight="1" x14ac:dyDescent="0.2">
      <c r="Y161" s="13"/>
    </row>
    <row r="162" spans="25:26" ht="12.75" customHeight="1" x14ac:dyDescent="0.2">
      <c r="Y162" s="18"/>
    </row>
    <row r="163" spans="25:26" ht="12.75" customHeight="1" x14ac:dyDescent="0.2">
      <c r="Y163" s="18"/>
    </row>
    <row r="164" spans="25:26" ht="12.75" customHeight="1" x14ac:dyDescent="0.2">
      <c r="Y164" s="18"/>
    </row>
    <row r="165" spans="25:26" ht="12.75" customHeight="1" x14ac:dyDescent="0.2">
      <c r="Y165" s="18"/>
    </row>
    <row r="166" spans="25:26" ht="12.75" customHeight="1" x14ac:dyDescent="0.2">
      <c r="Y166" s="13"/>
    </row>
    <row r="167" spans="25:26" ht="12.75" customHeight="1" x14ac:dyDescent="0.2">
      <c r="Y167" s="13"/>
    </row>
    <row r="168" spans="25:26" ht="12.75" customHeight="1" x14ac:dyDescent="0.2">
      <c r="Y168" s="13"/>
    </row>
    <row r="169" spans="25:26" ht="12.75" customHeight="1" x14ac:dyDescent="0.2">
      <c r="Y169" s="13"/>
    </row>
    <row r="170" spans="25:26" ht="12.75" customHeight="1" x14ac:dyDescent="0.2">
      <c r="Y170" s="13"/>
    </row>
    <row r="171" spans="25:26" ht="12.75" customHeight="1" x14ac:dyDescent="0.2">
      <c r="Y171" s="13"/>
    </row>
    <row r="172" spans="25:26" ht="12.75" customHeight="1" x14ac:dyDescent="0.2">
      <c r="Y172" s="13"/>
    </row>
    <row r="173" spans="25:26" ht="12.75" customHeight="1" x14ac:dyDescent="0.2">
      <c r="Y173" s="13"/>
    </row>
    <row r="174" spans="25:26" ht="12.75" customHeight="1" x14ac:dyDescent="0.2">
      <c r="Y174" s="18"/>
      <c r="Z174" s="19"/>
    </row>
    <row r="175" spans="25:26" ht="12.75" customHeight="1" x14ac:dyDescent="0.2">
      <c r="Y175" s="21"/>
    </row>
    <row r="176" spans="25:26" ht="12.75" customHeight="1" x14ac:dyDescent="0.2">
      <c r="Y176" s="18"/>
    </row>
    <row r="177" spans="25:26" ht="12.75" customHeight="1" x14ac:dyDescent="0.2">
      <c r="Y177" s="13"/>
      <c r="Z177" s="19"/>
    </row>
    <row r="178" spans="25:26" ht="12.75" customHeight="1" x14ac:dyDescent="0.2">
      <c r="Y178"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- 2ND YEAR</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9E675-1353-4B2F-AF8F-F3063AFA112D}">
  <sheetPr codeName="Sheet6">
    <pageSetUpPr fitToPage="1"/>
  </sheetPr>
  <dimension ref="A1:AR178"/>
  <sheetViews>
    <sheetView view="pageLayout" topLeftCell="A2" zoomScale="70" zoomScaleNormal="100" zoomScalePageLayoutView="70" workbookViewId="0">
      <selection activeCell="D15" sqref="D15"/>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56"/>
    <col min="45" max="16384" width="9.7109375" style="2"/>
  </cols>
  <sheetData>
    <row r="1" spans="1:44" ht="12.75" customHeight="1" thickBot="1" x14ac:dyDescent="0.25">
      <c r="A1" s="23" t="s">
        <v>1</v>
      </c>
      <c r="B1" s="23" t="s">
        <v>2</v>
      </c>
      <c r="C1" s="23"/>
      <c r="D1" s="23" t="s">
        <v>3</v>
      </c>
      <c r="E1" s="23" t="s">
        <v>5</v>
      </c>
      <c r="F1" s="24" t="s">
        <v>63</v>
      </c>
      <c r="G1" s="23" t="s">
        <v>7</v>
      </c>
      <c r="H1" s="25"/>
      <c r="I1" s="26"/>
      <c r="J1" s="26"/>
      <c r="K1" s="26"/>
      <c r="L1" s="27" t="s">
        <v>81</v>
      </c>
      <c r="M1" s="28" t="s">
        <v>0</v>
      </c>
      <c r="N1" s="26" t="s">
        <v>42</v>
      </c>
      <c r="O1" s="29"/>
      <c r="P1" s="29" t="s">
        <v>11</v>
      </c>
      <c r="Q1" s="29"/>
      <c r="R1" s="30"/>
      <c r="S1" s="30"/>
      <c r="T1" s="30"/>
      <c r="U1" s="30"/>
      <c r="V1" s="30"/>
      <c r="W1" s="30"/>
      <c r="X1" s="30"/>
      <c r="Y1" s="30"/>
      <c r="Z1" s="101"/>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373"/>
      <c r="K2" s="373"/>
      <c r="L2" s="473" t="str">
        <f>TITLE!$C$7</f>
        <v xml:space="preserve">  </v>
      </c>
      <c r="M2" s="476"/>
      <c r="N2" s="473" t="str">
        <f>TITLE!$C$8</f>
        <v xml:space="preserve"> </v>
      </c>
      <c r="O2" s="476"/>
      <c r="P2" s="473" t="str">
        <f>TITLE!C9</f>
        <v xml:space="preserve"> </v>
      </c>
      <c r="Q2" s="474"/>
      <c r="R2" s="474"/>
      <c r="S2" s="474"/>
      <c r="T2" s="474"/>
      <c r="U2" s="474"/>
      <c r="V2" s="474"/>
      <c r="W2" s="474"/>
      <c r="X2" s="474"/>
      <c r="Y2" s="474"/>
      <c r="Z2" s="475"/>
    </row>
    <row r="3" spans="1:44" ht="12.75" customHeight="1" thickTop="1" x14ac:dyDescent="0.2">
      <c r="A3" s="33" t="s">
        <v>43</v>
      </c>
      <c r="B3" s="34" t="s">
        <v>44</v>
      </c>
      <c r="C3" s="34" t="s">
        <v>101</v>
      </c>
      <c r="D3" s="34" t="s">
        <v>45</v>
      </c>
      <c r="E3" s="34" t="s">
        <v>46</v>
      </c>
      <c r="F3" s="35" t="s">
        <v>47</v>
      </c>
      <c r="G3" s="36" t="s">
        <v>48</v>
      </c>
      <c r="H3" s="37"/>
      <c r="I3" s="38"/>
      <c r="J3" s="38"/>
      <c r="K3" s="38"/>
      <c r="L3" s="38"/>
      <c r="M3" s="38" t="s">
        <v>49</v>
      </c>
      <c r="N3" s="38"/>
      <c r="O3" s="38"/>
      <c r="P3" s="38"/>
      <c r="Q3" s="39"/>
      <c r="R3" s="40"/>
      <c r="S3" s="40"/>
      <c r="T3" s="40"/>
      <c r="U3" s="40"/>
      <c r="V3" s="38" t="s">
        <v>50</v>
      </c>
      <c r="W3" s="40"/>
      <c r="X3" s="40"/>
      <c r="Y3" s="40"/>
      <c r="Z3" s="100"/>
    </row>
    <row r="4" spans="1:44" ht="12.75" customHeight="1" x14ac:dyDescent="0.2">
      <c r="A4" s="41"/>
      <c r="B4" s="42" t="s">
        <v>51</v>
      </c>
      <c r="C4" s="42"/>
      <c r="D4" s="42" t="s">
        <v>52</v>
      </c>
      <c r="E4" s="42" t="s">
        <v>53</v>
      </c>
      <c r="F4" s="43" t="s">
        <v>54</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77" t="s">
        <v>55</v>
      </c>
      <c r="C5" s="277"/>
      <c r="D5" s="50" t="s">
        <v>52</v>
      </c>
      <c r="E5" s="50" t="s">
        <v>56</v>
      </c>
      <c r="F5" s="51" t="s">
        <v>57</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78" t="s">
        <v>58</v>
      </c>
      <c r="C6" s="278"/>
      <c r="D6" s="168" t="s">
        <v>59</v>
      </c>
      <c r="E6" s="42" t="s">
        <v>56</v>
      </c>
      <c r="F6" s="43" t="s">
        <v>57</v>
      </c>
      <c r="G6" s="169" t="s">
        <v>60</v>
      </c>
      <c r="H6" s="170" t="s">
        <v>71</v>
      </c>
      <c r="I6" s="396" t="s">
        <v>199</v>
      </c>
      <c r="J6" s="397" t="s">
        <v>197</v>
      </c>
      <c r="K6" s="398" t="s">
        <v>198</v>
      </c>
      <c r="L6" s="399" t="s">
        <v>23</v>
      </c>
      <c r="M6" s="399" t="s">
        <v>24</v>
      </c>
      <c r="N6" s="399" t="s">
        <v>25</v>
      </c>
      <c r="O6" s="397" t="s">
        <v>72</v>
      </c>
      <c r="P6" s="397" t="s">
        <v>26</v>
      </c>
      <c r="Q6" s="400" t="s">
        <v>80</v>
      </c>
      <c r="R6" s="401" t="s">
        <v>199</v>
      </c>
      <c r="S6" s="402" t="s">
        <v>197</v>
      </c>
      <c r="T6" s="403" t="s">
        <v>198</v>
      </c>
      <c r="U6" s="403" t="s">
        <v>23</v>
      </c>
      <c r="V6" s="171" t="s">
        <v>24</v>
      </c>
      <c r="W6" s="171" t="s">
        <v>25</v>
      </c>
      <c r="X6" s="46" t="s">
        <v>72</v>
      </c>
      <c r="Y6" s="46" t="s">
        <v>26</v>
      </c>
      <c r="Z6" s="172" t="s">
        <v>80</v>
      </c>
    </row>
    <row r="7" spans="1:44" s="173" customFormat="1" ht="12.75" customHeight="1" thickTop="1" x14ac:dyDescent="0.2">
      <c r="A7" s="194" t="s">
        <v>61</v>
      </c>
      <c r="B7" s="279" t="s">
        <v>165</v>
      </c>
      <c r="C7" s="293"/>
      <c r="D7" s="195">
        <v>0</v>
      </c>
      <c r="E7" s="196">
        <f>FACTORS!$I$2*D7</f>
        <v>0</v>
      </c>
      <c r="F7" s="197">
        <f>E7*24</f>
        <v>0</v>
      </c>
      <c r="G7" s="198">
        <v>0</v>
      </c>
      <c r="H7" s="199">
        <v>0</v>
      </c>
      <c r="I7" s="377">
        <f>FACTORS!$C$17*D7/453.592</f>
        <v>0</v>
      </c>
      <c r="J7" s="404">
        <f>FACTORS!$D$17*D7/453.592</f>
        <v>0</v>
      </c>
      <c r="K7" s="405">
        <f>FACTORS!$E$17*D7/453.592</f>
        <v>0</v>
      </c>
      <c r="L7" s="202">
        <f>FACTORS!$F$17*D7/453.592</f>
        <v>0</v>
      </c>
      <c r="M7" s="202">
        <f>FACTORS!$G$17*D7/453.592</f>
        <v>0</v>
      </c>
      <c r="N7" s="201">
        <f>FACTORS!$H$17*D7/453.592</f>
        <v>0</v>
      </c>
      <c r="O7" s="203">
        <f>FACTORS!$I$17*D7/453.592</f>
        <v>0</v>
      </c>
      <c r="P7" s="203">
        <f>FACTORS!$J$17*D7/453.592</f>
        <v>0</v>
      </c>
      <c r="Q7" s="204">
        <f>IFERROR(FACTORS!$K$17*D7/453.592,"--")</f>
        <v>0</v>
      </c>
      <c r="R7" s="381">
        <f>IF(I7=0,0,I7*($F7/($E7*24))*$G7*$H7/2000)</f>
        <v>0</v>
      </c>
      <c r="S7" s="203">
        <f t="shared" ref="S7:T10" si="0">IF(J7=0,0,J7*($F7/($E7*24))*$G7*$H7/2000)</f>
        <v>0</v>
      </c>
      <c r="T7" s="203">
        <f>IF(K7=0,0,K7*($F7/($E7*24))*$G7*$H7/2000)</f>
        <v>0</v>
      </c>
      <c r="U7" s="203">
        <f t="shared" ref="U7:W10" si="1">IF(L7=0,0,L7*($F7/($E7*24))*$G7*$H7/2000)</f>
        <v>0</v>
      </c>
      <c r="V7" s="203">
        <f t="shared" si="1"/>
        <v>0</v>
      </c>
      <c r="W7" s="203">
        <f t="shared" si="1"/>
        <v>0</v>
      </c>
      <c r="X7" s="203">
        <f>IFERROR(IF(O7=0,0,O7*($F7/($E7*24))*$G7*$H7/2000),"--")</f>
        <v>0</v>
      </c>
      <c r="Y7" s="203">
        <f>IF(P7=0,0,P7*($F7/($E7*24))*$G7*$H7/2000)</f>
        <v>0</v>
      </c>
      <c r="Z7" s="205">
        <f>IFERROR(IF(Q7=0,0,Q7*($F7/($E7*24))*$G7*$H7/2000),"--")</f>
        <v>0</v>
      </c>
      <c r="AA7" s="262"/>
      <c r="AB7" s="262"/>
      <c r="AC7" s="262"/>
      <c r="AD7" s="262"/>
      <c r="AE7" s="262"/>
      <c r="AF7" s="262"/>
      <c r="AG7" s="262"/>
      <c r="AH7" s="262"/>
      <c r="AI7" s="262"/>
      <c r="AJ7" s="262"/>
      <c r="AK7" s="262"/>
      <c r="AL7" s="262"/>
      <c r="AM7" s="262"/>
      <c r="AN7" s="262"/>
      <c r="AO7" s="262"/>
      <c r="AP7" s="262"/>
      <c r="AQ7" s="262"/>
      <c r="AR7" s="262"/>
    </row>
    <row r="8" spans="1:44" s="183" customFormat="1" ht="12.75" customHeight="1" x14ac:dyDescent="0.2">
      <c r="A8" s="206"/>
      <c r="B8" s="238" t="s">
        <v>165</v>
      </c>
      <c r="C8" s="294"/>
      <c r="D8" s="208">
        <v>0</v>
      </c>
      <c r="E8" s="209">
        <f>FACTORS!$I$2*D8</f>
        <v>0</v>
      </c>
      <c r="F8" s="201">
        <f>E8*24</f>
        <v>0</v>
      </c>
      <c r="G8" s="210">
        <v>0</v>
      </c>
      <c r="H8" s="211">
        <v>0</v>
      </c>
      <c r="I8" s="222">
        <f>FACTORS!$C$17*D8/453.592</f>
        <v>0</v>
      </c>
      <c r="J8" s="404">
        <f>FACTORS!$D$17*D8/453.592</f>
        <v>0</v>
      </c>
      <c r="K8" s="405">
        <f>FACTORS!$E$17*D8/453.592</f>
        <v>0</v>
      </c>
      <c r="L8" s="202">
        <f>FACTORS!$F$17*D8/453.592</f>
        <v>0</v>
      </c>
      <c r="M8" s="202">
        <f>FACTORS!$G$17*D8/453.592</f>
        <v>0</v>
      </c>
      <c r="N8" s="201">
        <f>FACTORS!$H$17*D8/453.592</f>
        <v>0</v>
      </c>
      <c r="O8" s="202">
        <f>FACTORS!$I$17*D8/453.592</f>
        <v>0</v>
      </c>
      <c r="P8" s="202">
        <f>FACTORS!$J$17*D8/453.592</f>
        <v>0</v>
      </c>
      <c r="Q8" s="204">
        <f>IFERROR(FACTORS!$K$17*D8/453.592,"--")</f>
        <v>0</v>
      </c>
      <c r="R8" s="200">
        <f>IF(I8=0,0,I8*($F8/($E8*24))*$G8*$H8/2000)</f>
        <v>0</v>
      </c>
      <c r="S8" s="202">
        <f t="shared" si="0"/>
        <v>0</v>
      </c>
      <c r="T8" s="202">
        <f t="shared" si="0"/>
        <v>0</v>
      </c>
      <c r="U8" s="202">
        <f t="shared" si="1"/>
        <v>0</v>
      </c>
      <c r="V8" s="202">
        <f t="shared" si="1"/>
        <v>0</v>
      </c>
      <c r="W8" s="202">
        <f t="shared" si="1"/>
        <v>0</v>
      </c>
      <c r="X8" s="202">
        <f>IFERROR(IF(O8=0,0,O8*($F8/($E8*24))*$G8*$H8/2000),"--")</f>
        <v>0</v>
      </c>
      <c r="Y8" s="202">
        <f>IF(P8=0,0,P8*($F8/($E8*24))*$G8*$H8/2000)</f>
        <v>0</v>
      </c>
      <c r="Z8" s="213">
        <f>IFERROR(IF(Q8=0,0,Q8*($F8/($E8*24))*$G8*$H8/2000),"--")</f>
        <v>0</v>
      </c>
      <c r="AA8" s="256"/>
      <c r="AB8" s="256"/>
      <c r="AC8" s="256"/>
      <c r="AD8" s="256"/>
      <c r="AE8" s="256"/>
      <c r="AF8" s="256"/>
      <c r="AG8" s="256"/>
      <c r="AH8" s="256"/>
      <c r="AI8" s="256"/>
      <c r="AJ8" s="256"/>
      <c r="AK8" s="256"/>
      <c r="AL8" s="256"/>
      <c r="AM8" s="256"/>
      <c r="AN8" s="256"/>
      <c r="AO8" s="256"/>
      <c r="AP8" s="256"/>
      <c r="AQ8" s="256"/>
      <c r="AR8" s="256"/>
    </row>
    <row r="9" spans="1:44" s="183" customFormat="1" ht="12.75" customHeight="1" x14ac:dyDescent="0.2">
      <c r="A9" s="206"/>
      <c r="B9" s="238" t="s">
        <v>165</v>
      </c>
      <c r="C9" s="294"/>
      <c r="D9" s="208">
        <v>0</v>
      </c>
      <c r="E9" s="209">
        <f>FACTORS!$I$2*D9</f>
        <v>0</v>
      </c>
      <c r="F9" s="201">
        <f>E9*24</f>
        <v>0</v>
      </c>
      <c r="G9" s="210">
        <v>0</v>
      </c>
      <c r="H9" s="211">
        <v>0</v>
      </c>
      <c r="I9" s="222">
        <f>FACTORS!$C$17*D9/453.592</f>
        <v>0</v>
      </c>
      <c r="J9" s="404">
        <f>FACTORS!$D$17*D9/453.592</f>
        <v>0</v>
      </c>
      <c r="K9" s="405">
        <f>FACTORS!$E$17*D9/453.592</f>
        <v>0</v>
      </c>
      <c r="L9" s="202">
        <f>FACTORS!$F$17*D9/453.592</f>
        <v>0</v>
      </c>
      <c r="M9" s="202">
        <f>FACTORS!$G$17*D9/453.592</f>
        <v>0</v>
      </c>
      <c r="N9" s="201">
        <f>FACTORS!$H$17*D9/453.592</f>
        <v>0</v>
      </c>
      <c r="O9" s="202">
        <f>FACTORS!$I$17*D9/453.592</f>
        <v>0</v>
      </c>
      <c r="P9" s="202">
        <f>FACTORS!$J$17*D9/453.592</f>
        <v>0</v>
      </c>
      <c r="Q9" s="204">
        <f>IFERROR(FACTORS!$K$17*D9/453.592,"--")</f>
        <v>0</v>
      </c>
      <c r="R9" s="200">
        <f>IF(I9=0,0,I9*($F9/($E9*24))*$G9*$H9/2000)</f>
        <v>0</v>
      </c>
      <c r="S9" s="202">
        <f t="shared" si="0"/>
        <v>0</v>
      </c>
      <c r="T9" s="202">
        <f t="shared" si="0"/>
        <v>0</v>
      </c>
      <c r="U9" s="202">
        <f t="shared" si="1"/>
        <v>0</v>
      </c>
      <c r="V9" s="202">
        <f t="shared" si="1"/>
        <v>0</v>
      </c>
      <c r="W9" s="202">
        <f t="shared" si="1"/>
        <v>0</v>
      </c>
      <c r="X9" s="202">
        <f>IFERROR(IF(O9=0,0,O9*($F9/($E9*24))*$G9*$H9/2000),"--")</f>
        <v>0</v>
      </c>
      <c r="Y9" s="202">
        <f>IF(P9=0,0,P9*($F9/($E9*24))*$G9*$H9/2000)</f>
        <v>0</v>
      </c>
      <c r="Z9" s="213">
        <f>IFERROR(IF(Q9=0,0,Q9*($F9/($E9*24))*$G9*$H9/2000),"--")</f>
        <v>0</v>
      </c>
      <c r="AA9" s="256"/>
      <c r="AB9" s="256"/>
      <c r="AC9" s="256"/>
      <c r="AD9" s="256"/>
      <c r="AE9" s="256"/>
      <c r="AF9" s="256"/>
      <c r="AG9" s="256"/>
      <c r="AH9" s="256"/>
      <c r="AI9" s="256"/>
      <c r="AJ9" s="256"/>
      <c r="AK9" s="256"/>
      <c r="AL9" s="256"/>
      <c r="AM9" s="256"/>
      <c r="AN9" s="256"/>
      <c r="AO9" s="256"/>
      <c r="AP9" s="256"/>
      <c r="AQ9" s="256"/>
      <c r="AR9" s="256"/>
    </row>
    <row r="10" spans="1:44" s="183" customFormat="1" ht="12.75" customHeight="1" x14ac:dyDescent="0.2">
      <c r="A10" s="206"/>
      <c r="B10" s="238" t="s">
        <v>165</v>
      </c>
      <c r="C10" s="294"/>
      <c r="D10" s="208">
        <v>0</v>
      </c>
      <c r="E10" s="209">
        <f>FACTORS!$I$2*D10</f>
        <v>0</v>
      </c>
      <c r="F10" s="201">
        <f>E10*24</f>
        <v>0</v>
      </c>
      <c r="G10" s="210">
        <v>0</v>
      </c>
      <c r="H10" s="211">
        <v>0</v>
      </c>
      <c r="I10" s="222">
        <f>FACTORS!$C$17*D10/453.592</f>
        <v>0</v>
      </c>
      <c r="J10" s="404">
        <f>FACTORS!$D$17*D10/453.592</f>
        <v>0</v>
      </c>
      <c r="K10" s="405">
        <f>FACTORS!$E$17*D10/453.592</f>
        <v>0</v>
      </c>
      <c r="L10" s="202">
        <f>FACTORS!$F$17*D10/453.592</f>
        <v>0</v>
      </c>
      <c r="M10" s="202">
        <f>FACTORS!$G$17*D10/453.592</f>
        <v>0</v>
      </c>
      <c r="N10" s="201">
        <f>FACTORS!$H$17*D10/453.592</f>
        <v>0</v>
      </c>
      <c r="O10" s="202">
        <f>FACTORS!$I$17*D10/453.592</f>
        <v>0</v>
      </c>
      <c r="P10" s="202">
        <f>FACTORS!$J$17*D10/453.592</f>
        <v>0</v>
      </c>
      <c r="Q10" s="204">
        <f>IFERROR(FACTORS!$K$17*D10/453.592,"--")</f>
        <v>0</v>
      </c>
      <c r="R10" s="200">
        <f>IF(I10=0,0,I10*($F10/($E10*24))*$G10*$H10/2000)</f>
        <v>0</v>
      </c>
      <c r="S10" s="202">
        <f>IF(J10=0,0,J10*($F10/($E10*24))*$G10*$H10/2000)</f>
        <v>0</v>
      </c>
      <c r="T10" s="202">
        <f t="shared" si="0"/>
        <v>0</v>
      </c>
      <c r="U10" s="202">
        <f t="shared" si="1"/>
        <v>0</v>
      </c>
      <c r="V10" s="202">
        <f t="shared" si="1"/>
        <v>0</v>
      </c>
      <c r="W10" s="202">
        <f t="shared" si="1"/>
        <v>0</v>
      </c>
      <c r="X10" s="202">
        <f>IFERROR(IF(O10=0,0,O10*($F10/($E10*24))*$G10*$H10/2000),"--")</f>
        <v>0</v>
      </c>
      <c r="Y10" s="202">
        <f>IF(P10=0,0,P10*($F10/($E10*24))*$G10*$H10/2000)</f>
        <v>0</v>
      </c>
      <c r="Z10" s="213">
        <f>IFERROR(IF(Q10=0,0,Q10*($F10/($E10*24))*$G10*$H10/2000),"--")</f>
        <v>0</v>
      </c>
      <c r="AA10" s="256"/>
      <c r="AB10" s="256"/>
      <c r="AC10" s="256"/>
      <c r="AD10" s="256"/>
      <c r="AE10" s="256"/>
      <c r="AF10" s="256"/>
      <c r="AG10" s="256"/>
      <c r="AH10" s="256"/>
      <c r="AI10" s="256"/>
      <c r="AJ10" s="256"/>
      <c r="AK10" s="256"/>
      <c r="AL10" s="256"/>
      <c r="AM10" s="256"/>
      <c r="AN10" s="256"/>
      <c r="AO10" s="256"/>
      <c r="AP10" s="256"/>
      <c r="AQ10" s="256"/>
      <c r="AR10" s="256"/>
    </row>
    <row r="11" spans="1:44" s="183" customFormat="1" x14ac:dyDescent="0.2">
      <c r="A11" s="206"/>
      <c r="B11" s="207" t="s">
        <v>194</v>
      </c>
      <c r="C11" s="207"/>
      <c r="D11" s="208">
        <v>0</v>
      </c>
      <c r="E11" s="214"/>
      <c r="F11" s="215"/>
      <c r="G11" s="208">
        <v>0</v>
      </c>
      <c r="H11" s="211">
        <v>0</v>
      </c>
      <c r="I11" s="222">
        <f>FACTORS!$C$19*D11/453.592</f>
        <v>0</v>
      </c>
      <c r="J11" s="404">
        <f>FACTORS!$D$19*D11/453.592</f>
        <v>0</v>
      </c>
      <c r="K11" s="405">
        <f>FACTORS!$E$19*D11/453.592</f>
        <v>0</v>
      </c>
      <c r="L11" s="202">
        <f>FACTORS!$F$19*D11/453.592</f>
        <v>0</v>
      </c>
      <c r="M11" s="202">
        <f>FACTORS!$G$19*D11/453.592</f>
        <v>0</v>
      </c>
      <c r="N11" s="201">
        <f>FACTORS!$H$19*D11/453.592</f>
        <v>0</v>
      </c>
      <c r="O11" s="202">
        <f>FACTORS!$I$19*D11/453.592</f>
        <v>0</v>
      </c>
      <c r="P11" s="202">
        <f>FACTORS!$J$19*D11/453.592</f>
        <v>0</v>
      </c>
      <c r="Q11" s="204">
        <f>FACTORS!$K$19*D11/453.592</f>
        <v>0</v>
      </c>
      <c r="R11" s="200">
        <f>I11*$G11*$H11/2000</f>
        <v>0</v>
      </c>
      <c r="S11" s="408">
        <f>J11*$G11*$H11/2000</f>
        <v>0</v>
      </c>
      <c r="T11" s="408">
        <f>K11*$G11*$H11/2000</f>
        <v>0</v>
      </c>
      <c r="U11" s="202">
        <f t="shared" ref="U11:Z11" si="2">L11*$G11*$H11/2000</f>
        <v>0</v>
      </c>
      <c r="V11" s="202">
        <f t="shared" si="2"/>
        <v>0</v>
      </c>
      <c r="W11" s="202">
        <f t="shared" si="2"/>
        <v>0</v>
      </c>
      <c r="X11" s="202">
        <f t="shared" si="2"/>
        <v>0</v>
      </c>
      <c r="Y11" s="202">
        <f t="shared" si="2"/>
        <v>0</v>
      </c>
      <c r="Z11" s="213">
        <f t="shared" si="2"/>
        <v>0</v>
      </c>
      <c r="AA11" s="256"/>
      <c r="AB11" s="256"/>
      <c r="AC11" s="256"/>
      <c r="AD11" s="256"/>
      <c r="AE11" s="256"/>
      <c r="AF11" s="256"/>
      <c r="AG11" s="256"/>
      <c r="AH11" s="256"/>
      <c r="AI11" s="256"/>
      <c r="AJ11" s="256"/>
      <c r="AK11" s="256"/>
      <c r="AL11" s="256"/>
      <c r="AM11" s="256"/>
      <c r="AN11" s="256"/>
      <c r="AO11" s="256"/>
      <c r="AP11" s="256"/>
      <c r="AQ11" s="256"/>
      <c r="AR11" s="256"/>
    </row>
    <row r="12" spans="1:44" s="183" customFormat="1" x14ac:dyDescent="0.2">
      <c r="A12" s="206"/>
      <c r="B12" s="207" t="s">
        <v>200</v>
      </c>
      <c r="C12" s="207"/>
      <c r="D12" s="208">
        <v>0</v>
      </c>
      <c r="E12" s="209">
        <f>FACTORS!$I$2*D12</f>
        <v>0</v>
      </c>
      <c r="F12" s="201">
        <f>E12*24</f>
        <v>0</v>
      </c>
      <c r="G12" s="210">
        <v>0</v>
      </c>
      <c r="H12" s="211">
        <v>0</v>
      </c>
      <c r="I12" s="406">
        <f>FACTORS!$C$18*D12/453.592</f>
        <v>0</v>
      </c>
      <c r="J12" s="404">
        <f>FACTORS!$D$18*D12/453.592</f>
        <v>0</v>
      </c>
      <c r="K12" s="405">
        <f>FACTORS!$E$18*D12/453.592</f>
        <v>0</v>
      </c>
      <c r="L12" s="202">
        <f>FACTORS!$F$18*D12/453.592</f>
        <v>0</v>
      </c>
      <c r="M12" s="202">
        <f>FACTORS!$G$18*D12/453.592</f>
        <v>0</v>
      </c>
      <c r="N12" s="201">
        <f>FACTORS!$H$18*D12/453.592</f>
        <v>0</v>
      </c>
      <c r="O12" s="202">
        <f>FACTORS!$I$18*D12/453.592</f>
        <v>0</v>
      </c>
      <c r="P12" s="202">
        <f>FACTORS!$J$18*D12/453.592</f>
        <v>0</v>
      </c>
      <c r="Q12" s="204">
        <f>FACTORS!$K$18*D12/453.592</f>
        <v>0</v>
      </c>
      <c r="R12" s="200">
        <f>IF(I12=0,0,I12*($F12/($E12*24))*$G12*$H12/2000)</f>
        <v>0</v>
      </c>
      <c r="S12" s="202">
        <f t="shared" ref="S12:W12" si="3">IF(J12=0,0,J12*($F12/($E12*24))*$G12*$H12/2000)</f>
        <v>0</v>
      </c>
      <c r="T12" s="202">
        <f t="shared" si="3"/>
        <v>0</v>
      </c>
      <c r="U12" s="202">
        <f t="shared" si="3"/>
        <v>0</v>
      </c>
      <c r="V12" s="202">
        <f t="shared" si="3"/>
        <v>0</v>
      </c>
      <c r="W12" s="202">
        <f t="shared" si="3"/>
        <v>0</v>
      </c>
      <c r="X12" s="202">
        <f>IFERROR(IF(O12=0,0,O12*($F12/($E12*24))*$G12*$H12/2000),"--")</f>
        <v>0</v>
      </c>
      <c r="Y12" s="202">
        <f t="shared" ref="Y12" si="4">IF(P12=0,0,P12*($F12/($E12*24))*$G12*$H12/2000)</f>
        <v>0</v>
      </c>
      <c r="Z12" s="213">
        <f>IFERROR(IF(Q12=0,0,Q12*($F12/($E12*24))*$G12*$H12/2000),"--")</f>
        <v>0</v>
      </c>
      <c r="AA12" s="256"/>
      <c r="AB12" s="256"/>
      <c r="AC12" s="256"/>
      <c r="AD12" s="256"/>
      <c r="AE12" s="256"/>
      <c r="AF12" s="256"/>
      <c r="AG12" s="256"/>
      <c r="AH12" s="256"/>
      <c r="AI12" s="256"/>
      <c r="AJ12" s="256"/>
      <c r="AK12" s="256"/>
      <c r="AL12" s="256"/>
      <c r="AM12" s="256"/>
      <c r="AN12" s="256"/>
      <c r="AO12" s="256"/>
      <c r="AP12" s="256"/>
      <c r="AQ12" s="256"/>
      <c r="AR12" s="256"/>
    </row>
    <row r="13" spans="1:44" ht="12.75" customHeight="1" x14ac:dyDescent="0.2">
      <c r="A13" s="61"/>
      <c r="B13" s="62"/>
      <c r="C13" s="62"/>
      <c r="D13" s="63"/>
      <c r="E13" s="64" t="s">
        <v>0</v>
      </c>
      <c r="F13" s="65"/>
      <c r="G13" s="66"/>
      <c r="H13" s="67"/>
      <c r="I13" s="59" t="s">
        <v>0</v>
      </c>
      <c r="J13" s="60"/>
      <c r="K13" s="374"/>
      <c r="L13" s="60" t="s">
        <v>0</v>
      </c>
      <c r="M13" s="60"/>
      <c r="N13" s="58"/>
      <c r="O13" s="60"/>
      <c r="P13" s="60"/>
      <c r="Q13" s="151"/>
      <c r="R13" s="75"/>
      <c r="S13" s="60"/>
      <c r="T13" s="60"/>
      <c r="U13" s="60"/>
      <c r="V13" s="60"/>
      <c r="W13" s="60"/>
      <c r="X13" s="68"/>
      <c r="Y13" s="68"/>
      <c r="Z13" s="69"/>
    </row>
    <row r="14" spans="1:44" s="183" customFormat="1" ht="12.75" customHeight="1" x14ac:dyDescent="0.2">
      <c r="A14" s="206" t="s">
        <v>183</v>
      </c>
      <c r="B14" s="207" t="s">
        <v>121</v>
      </c>
      <c r="C14" s="207"/>
      <c r="D14" s="208">
        <v>0</v>
      </c>
      <c r="E14" s="216">
        <f>FACTORS!$I$2*D14</f>
        <v>0</v>
      </c>
      <c r="F14" s="201">
        <f>E14*24</f>
        <v>0</v>
      </c>
      <c r="G14" s="210">
        <v>0</v>
      </c>
      <c r="H14" s="211">
        <v>0</v>
      </c>
      <c r="I14" s="236">
        <f>FACTORS!$C$17*D14/453.592</f>
        <v>0</v>
      </c>
      <c r="J14" s="407">
        <f>FACTORS!$D$17*D14/453.592</f>
        <v>0</v>
      </c>
      <c r="K14" s="409">
        <f>FACTORS!$E$17*D14/453.592</f>
        <v>0</v>
      </c>
      <c r="L14" s="219">
        <f>FACTORS!$F$17*D14/453.592</f>
        <v>0</v>
      </c>
      <c r="M14" s="219">
        <f>FACTORS!$G$17*D14/453.592</f>
        <v>0</v>
      </c>
      <c r="N14" s="218">
        <f>FACTORS!$H$17*D14/453.592</f>
        <v>0</v>
      </c>
      <c r="O14" s="219">
        <f>FACTORS!$I$17*D14/453.592</f>
        <v>0</v>
      </c>
      <c r="P14" s="219">
        <f>FACTORS!$J$17*D14/453.592</f>
        <v>0</v>
      </c>
      <c r="Q14" s="220">
        <f>FACTORS!$K$17*D14/453.592</f>
        <v>0</v>
      </c>
      <c r="R14" s="217">
        <f>IF(I14=0,0,I14*($F14/($E14*24))*$G14*$H14/2000)</f>
        <v>0</v>
      </c>
      <c r="S14" s="219">
        <f t="shared" ref="S14:W14" si="5">IF(J14=0,0,J14*($F14/($E14*24))*$G14*$H14/2000)</f>
        <v>0</v>
      </c>
      <c r="T14" s="219">
        <f t="shared" si="5"/>
        <v>0</v>
      </c>
      <c r="U14" s="219">
        <f t="shared" si="5"/>
        <v>0</v>
      </c>
      <c r="V14" s="219">
        <f t="shared" si="5"/>
        <v>0</v>
      </c>
      <c r="W14" s="219">
        <f t="shared" si="5"/>
        <v>0</v>
      </c>
      <c r="X14" s="219">
        <f>IFERROR(IF(O14=0,0,O14*($F14/($E14*24))*$G14*$H14/2000),"--")</f>
        <v>0</v>
      </c>
      <c r="Y14" s="219">
        <f t="shared" ref="Y14" si="6">IF(P14=0,0,P14*($F14/($E14*24))*$G14*$H14/2000)</f>
        <v>0</v>
      </c>
      <c r="Z14" s="221">
        <f>IFERROR(IF(Q14=0,0,Q14*($F14/($E14*24))*$G14*$H14/2000),"--")</f>
        <v>0</v>
      </c>
      <c r="AA14" s="256"/>
      <c r="AB14" s="256"/>
      <c r="AC14" s="256"/>
      <c r="AD14" s="256"/>
      <c r="AE14" s="256"/>
      <c r="AF14" s="256"/>
      <c r="AG14" s="256"/>
      <c r="AH14" s="256"/>
      <c r="AI14" s="256"/>
      <c r="AJ14" s="256"/>
      <c r="AK14" s="256"/>
      <c r="AL14" s="256"/>
      <c r="AM14" s="256"/>
      <c r="AN14" s="256"/>
      <c r="AO14" s="256"/>
      <c r="AP14" s="256"/>
      <c r="AQ14" s="256"/>
      <c r="AR14" s="256"/>
    </row>
    <row r="15" spans="1:44" ht="12.75" customHeight="1" x14ac:dyDescent="0.2">
      <c r="A15" s="61"/>
      <c r="B15" s="62"/>
      <c r="C15" s="62"/>
      <c r="D15" s="450" t="s">
        <v>205</v>
      </c>
      <c r="E15" s="64" t="s">
        <v>0</v>
      </c>
      <c r="F15" s="65"/>
      <c r="G15" s="66"/>
      <c r="H15" s="67"/>
      <c r="I15" s="59" t="s">
        <v>0</v>
      </c>
      <c r="J15" s="414" t="s">
        <v>0</v>
      </c>
      <c r="K15" s="415" t="s">
        <v>0</v>
      </c>
      <c r="L15" s="60" t="s">
        <v>0</v>
      </c>
      <c r="M15" s="60"/>
      <c r="N15" s="58"/>
      <c r="O15" s="60"/>
      <c r="P15" s="60"/>
      <c r="Q15" s="151"/>
      <c r="R15" s="75"/>
      <c r="S15" s="60"/>
      <c r="T15" s="60"/>
      <c r="U15" s="60"/>
      <c r="V15" s="60"/>
      <c r="W15" s="60"/>
      <c r="X15" s="68"/>
      <c r="Y15" s="68"/>
      <c r="Z15" s="69"/>
    </row>
    <row r="16" spans="1:44" ht="12.75" customHeight="1" x14ac:dyDescent="0.2">
      <c r="A16" s="230" t="s">
        <v>61</v>
      </c>
      <c r="B16" s="231" t="s">
        <v>31</v>
      </c>
      <c r="C16" s="232"/>
      <c r="D16" s="233">
        <v>0</v>
      </c>
      <c r="E16" s="227"/>
      <c r="F16" s="228"/>
      <c r="G16" s="234">
        <v>0</v>
      </c>
      <c r="H16" s="235">
        <v>0</v>
      </c>
      <c r="I16" s="236">
        <f>FACTORS!$C$27*D16/24</f>
        <v>0</v>
      </c>
      <c r="J16" s="407">
        <f>FACTORS!$D$27*D16/24</f>
        <v>0</v>
      </c>
      <c r="K16" s="409">
        <f>FACTORS!$E$27*D16/24</f>
        <v>0</v>
      </c>
      <c r="L16" s="219">
        <f>FACTORS!$F$27*D16/24</f>
        <v>0</v>
      </c>
      <c r="M16" s="219">
        <f>FACTORS!$G$27*D16/24</f>
        <v>0</v>
      </c>
      <c r="N16" s="218">
        <f>FACTORS!$H$27*D16/24</f>
        <v>0</v>
      </c>
      <c r="O16" s="218">
        <f>FACTORS!$I$27*D16/24</f>
        <v>0</v>
      </c>
      <c r="P16" s="219">
        <f>FACTORS!$J$27*D16/24</f>
        <v>0</v>
      </c>
      <c r="Q16" s="219">
        <f>FACTORS!$K$27*D16/24</f>
        <v>0</v>
      </c>
      <c r="R16" s="236">
        <f>IFERROR(I16*$G16*$H16/2000, "--")</f>
        <v>0</v>
      </c>
      <c r="S16" s="408">
        <f>IFERROR(J16*$G16*$H16/2000, "--")</f>
        <v>0</v>
      </c>
      <c r="T16" s="409">
        <f>IFERROR(K16*$G16*$H16/2000, "--")</f>
        <v>0</v>
      </c>
      <c r="U16" s="219">
        <f t="shared" ref="U16:Z16" si="7">IFERROR(L16*$G16*$H16/2000, "--")</f>
        <v>0</v>
      </c>
      <c r="V16" s="219">
        <f t="shared" si="7"/>
        <v>0</v>
      </c>
      <c r="W16" s="219">
        <f t="shared" si="7"/>
        <v>0</v>
      </c>
      <c r="X16" s="219">
        <f t="shared" si="7"/>
        <v>0</v>
      </c>
      <c r="Y16" s="218">
        <f t="shared" si="7"/>
        <v>0</v>
      </c>
      <c r="Z16" s="221">
        <f t="shared" si="7"/>
        <v>0</v>
      </c>
    </row>
    <row r="17" spans="1:44" ht="15" customHeight="1" x14ac:dyDescent="0.2">
      <c r="A17" s="237" t="s">
        <v>65</v>
      </c>
      <c r="B17" s="207" t="s">
        <v>128</v>
      </c>
      <c r="C17" s="238"/>
      <c r="D17" s="239"/>
      <c r="E17" s="209">
        <v>0</v>
      </c>
      <c r="F17" s="229" t="s">
        <v>0</v>
      </c>
      <c r="G17" s="208">
        <v>0</v>
      </c>
      <c r="H17" s="211">
        <v>0</v>
      </c>
      <c r="I17" s="222">
        <f>FACTORS!$C$22*E17/1000000</f>
        <v>0</v>
      </c>
      <c r="J17" s="408">
        <f>FACTORS!$D$22*E17/1000000</f>
        <v>0</v>
      </c>
      <c r="K17" s="404">
        <f>FACTORS!$E$22*E17/1000000</f>
        <v>0</v>
      </c>
      <c r="L17" s="202">
        <f>FACTORS!$F$22*E17/1000000</f>
        <v>0</v>
      </c>
      <c r="M17" s="202">
        <f>FACTORS!$G$22*E17/1000000</f>
        <v>0</v>
      </c>
      <c r="N17" s="201">
        <f>FACTORS!$H$22*E17/1000000</f>
        <v>0</v>
      </c>
      <c r="O17" s="202" t="str">
        <f>IFERROR(FACTORS!$I$22*E17/1000000,"--")</f>
        <v>--</v>
      </c>
      <c r="P17" s="202">
        <f>FACTORS!$J$22*E17/1000000</f>
        <v>0</v>
      </c>
      <c r="Q17" s="212" t="str">
        <f>IFERROR(FACTORS!$K$22*E17/1000000, "--")</f>
        <v>--</v>
      </c>
      <c r="R17" s="222">
        <f>IFERROR(I17*$G17*$H17/2000,"--")</f>
        <v>0</v>
      </c>
      <c r="S17" s="408">
        <f t="shared" ref="S17:Z20" si="8">IFERROR(J17*$G17*$H17/2000,"--")</f>
        <v>0</v>
      </c>
      <c r="T17" s="404">
        <f t="shared" si="8"/>
        <v>0</v>
      </c>
      <c r="U17" s="202">
        <f t="shared" si="8"/>
        <v>0</v>
      </c>
      <c r="V17" s="202">
        <f t="shared" si="8"/>
        <v>0</v>
      </c>
      <c r="W17" s="202">
        <f t="shared" si="8"/>
        <v>0</v>
      </c>
      <c r="X17" s="202" t="str">
        <f t="shared" si="8"/>
        <v>--</v>
      </c>
      <c r="Y17" s="202">
        <f t="shared" si="8"/>
        <v>0</v>
      </c>
      <c r="Z17" s="213" t="str">
        <f t="shared" si="8"/>
        <v>--</v>
      </c>
    </row>
    <row r="18" spans="1:44" ht="15" customHeight="1" x14ac:dyDescent="0.2">
      <c r="A18" s="237"/>
      <c r="B18" s="207" t="s">
        <v>129</v>
      </c>
      <c r="C18" s="207"/>
      <c r="D18" s="240"/>
      <c r="E18" s="209">
        <v>0</v>
      </c>
      <c r="F18" s="229" t="s">
        <v>0</v>
      </c>
      <c r="G18" s="208">
        <v>0</v>
      </c>
      <c r="H18" s="211">
        <v>0</v>
      </c>
      <c r="I18" s="222">
        <f>FACTORS!$C$23*E18/1000000</f>
        <v>0</v>
      </c>
      <c r="J18" s="408">
        <f>FACTORS!$D$23*E18/1000000</f>
        <v>0</v>
      </c>
      <c r="K18" s="404">
        <f>FACTORS!$E$23*E18/1000000</f>
        <v>0</v>
      </c>
      <c r="L18" s="202">
        <f>FACTORS!$F$23*E18/1000000</f>
        <v>0</v>
      </c>
      <c r="M18" s="202">
        <f>FACTORS!$G$23*E18/1000000</f>
        <v>0</v>
      </c>
      <c r="N18" s="201">
        <f>FACTORS!$H$23*E18/1000000</f>
        <v>0</v>
      </c>
      <c r="O18" s="202" t="str">
        <f>IFERROR(FACTORS!$I$23*E18/1000000, "--")</f>
        <v>--</v>
      </c>
      <c r="P18" s="202">
        <f>FACTORS!$J$23*E18/1000000</f>
        <v>0</v>
      </c>
      <c r="Q18" s="223" t="str">
        <f>IFERROR(FACTORS!$K$23*E18/1000000, "--")</f>
        <v>--</v>
      </c>
      <c r="R18" s="222">
        <f>IFERROR(I18*$G18*$H18/2000,"--")</f>
        <v>0</v>
      </c>
      <c r="S18" s="408">
        <f t="shared" si="8"/>
        <v>0</v>
      </c>
      <c r="T18" s="404">
        <f t="shared" si="8"/>
        <v>0</v>
      </c>
      <c r="U18" s="202">
        <f t="shared" si="8"/>
        <v>0</v>
      </c>
      <c r="V18" s="202">
        <f t="shared" si="8"/>
        <v>0</v>
      </c>
      <c r="W18" s="202">
        <f t="shared" si="8"/>
        <v>0</v>
      </c>
      <c r="X18" s="202" t="str">
        <f t="shared" si="8"/>
        <v>--</v>
      </c>
      <c r="Y18" s="202">
        <f t="shared" si="8"/>
        <v>0</v>
      </c>
      <c r="Z18" s="213" t="str">
        <f t="shared" si="8"/>
        <v>--</v>
      </c>
    </row>
    <row r="19" spans="1:44" ht="15" customHeight="1" x14ac:dyDescent="0.2">
      <c r="A19" s="237"/>
      <c r="B19" s="207" t="s">
        <v>130</v>
      </c>
      <c r="C19" s="207"/>
      <c r="D19" s="240"/>
      <c r="E19" s="209">
        <v>0</v>
      </c>
      <c r="F19" s="229" t="s">
        <v>0</v>
      </c>
      <c r="G19" s="208">
        <v>0</v>
      </c>
      <c r="H19" s="211">
        <v>0</v>
      </c>
      <c r="I19" s="222">
        <f>FACTORS!$C$24*E19/1000000</f>
        <v>0</v>
      </c>
      <c r="J19" s="408">
        <f>FACTORS!$D$24*E19/1000000</f>
        <v>0</v>
      </c>
      <c r="K19" s="404">
        <f>FACTORS!$E$24*E19/1000000</f>
        <v>0</v>
      </c>
      <c r="L19" s="202">
        <f>FACTORS!$F$24*E19/1000000</f>
        <v>0</v>
      </c>
      <c r="M19" s="202">
        <f>FACTORS!$G$24*E19/1000000</f>
        <v>0</v>
      </c>
      <c r="N19" s="201">
        <f>FACTORS!$H$24*E19/1000000</f>
        <v>0</v>
      </c>
      <c r="O19" s="202" t="str">
        <f>IFERROR(FACTORS!$I$24*E19/1000000, "--")</f>
        <v>--</v>
      </c>
      <c r="P19" s="202">
        <f>FACTORS!$J$24*E19/1000000</f>
        <v>0</v>
      </c>
      <c r="Q19" s="223" t="str">
        <f>IFERROR(FACTORS!$K$24*E19/1000000, "--")</f>
        <v>--</v>
      </c>
      <c r="R19" s="222">
        <f>IFERROR(I19*$G19*$H19/2000,"--")</f>
        <v>0</v>
      </c>
      <c r="S19" s="408">
        <f t="shared" si="8"/>
        <v>0</v>
      </c>
      <c r="T19" s="404">
        <f t="shared" si="8"/>
        <v>0</v>
      </c>
      <c r="U19" s="202">
        <f t="shared" si="8"/>
        <v>0</v>
      </c>
      <c r="V19" s="202">
        <f t="shared" si="8"/>
        <v>0</v>
      </c>
      <c r="W19" s="202">
        <f t="shared" si="8"/>
        <v>0</v>
      </c>
      <c r="X19" s="202" t="str">
        <f t="shared" si="8"/>
        <v>--</v>
      </c>
      <c r="Y19" s="202">
        <f t="shared" si="8"/>
        <v>0</v>
      </c>
      <c r="Z19" s="213" t="str">
        <f t="shared" si="8"/>
        <v>--</v>
      </c>
    </row>
    <row r="20" spans="1:44" ht="15" customHeight="1" x14ac:dyDescent="0.2">
      <c r="A20" s="237"/>
      <c r="B20" s="207" t="s">
        <v>131</v>
      </c>
      <c r="C20" s="207"/>
      <c r="D20" s="240"/>
      <c r="E20" s="209">
        <v>0</v>
      </c>
      <c r="F20" s="229" t="s">
        <v>0</v>
      </c>
      <c r="G20" s="208">
        <v>0</v>
      </c>
      <c r="H20" s="211">
        <v>0</v>
      </c>
      <c r="I20" s="222">
        <f>FACTORS!$C$25*E20/1000000</f>
        <v>0</v>
      </c>
      <c r="J20" s="408">
        <f>FACTORS!$D$25*E20/1000000</f>
        <v>0</v>
      </c>
      <c r="K20" s="404">
        <f>FACTORS!$E$25*E20/1000000</f>
        <v>0</v>
      </c>
      <c r="L20" s="202">
        <f>FACTORS!$F$25*E20/1000000</f>
        <v>0</v>
      </c>
      <c r="M20" s="202">
        <f>FACTORS!$G$25*E20/1000000</f>
        <v>0</v>
      </c>
      <c r="N20" s="201">
        <f>FACTORS!$H$25*E20/1000000</f>
        <v>0</v>
      </c>
      <c r="O20" s="202" t="str">
        <f>IFERROR(FACTORS!$I$25*E20/1000000, "--")</f>
        <v>--</v>
      </c>
      <c r="P20" s="202">
        <f>FACTORS!$J$25*E20/1000000</f>
        <v>0</v>
      </c>
      <c r="Q20" s="223" t="str">
        <f>IFERROR(FACTORS!$K$25*E20/1000000, "--")</f>
        <v>--</v>
      </c>
      <c r="R20" s="328">
        <f>IFERROR(I20*$G20*$H20/2000,"--")</f>
        <v>0</v>
      </c>
      <c r="S20" s="410">
        <f t="shared" si="8"/>
        <v>0</v>
      </c>
      <c r="T20" s="411">
        <f>IFERROR(K20*$G20*$H20/2000,"--")</f>
        <v>0</v>
      </c>
      <c r="U20" s="225">
        <f t="shared" si="8"/>
        <v>0</v>
      </c>
      <c r="V20" s="225">
        <f t="shared" si="8"/>
        <v>0</v>
      </c>
      <c r="W20" s="225">
        <f t="shared" si="8"/>
        <v>0</v>
      </c>
      <c r="X20" s="225" t="str">
        <f t="shared" si="8"/>
        <v>--</v>
      </c>
      <c r="Y20" s="225">
        <f t="shared" si="8"/>
        <v>0</v>
      </c>
      <c r="Z20" s="226" t="str">
        <f t="shared" si="8"/>
        <v>--</v>
      </c>
    </row>
    <row r="21" spans="1:44" ht="24.75" customHeight="1" x14ac:dyDescent="0.2">
      <c r="A21" s="360" t="s">
        <v>184</v>
      </c>
      <c r="B21" s="362" t="s">
        <v>160</v>
      </c>
      <c r="C21" s="157"/>
      <c r="D21" s="357" t="s">
        <v>100</v>
      </c>
      <c r="E21" s="74"/>
      <c r="F21" s="74"/>
      <c r="G21" s="169" t="s">
        <v>60</v>
      </c>
      <c r="H21" s="358" t="s">
        <v>71</v>
      </c>
      <c r="I21" s="375"/>
      <c r="J21" s="425"/>
      <c r="K21" s="426"/>
      <c r="L21" s="320"/>
      <c r="M21" s="320"/>
      <c r="N21" s="121"/>
      <c r="O21" s="320"/>
      <c r="P21" s="320"/>
      <c r="Q21" s="359"/>
      <c r="R21" s="59"/>
      <c r="S21" s="414"/>
      <c r="T21" s="415"/>
      <c r="U21" s="60"/>
      <c r="V21" s="60"/>
      <c r="W21" s="60"/>
      <c r="X21" s="60"/>
      <c r="Y21" s="60"/>
      <c r="Z21" s="110"/>
    </row>
    <row r="22" spans="1:44" s="183" customFormat="1" ht="12.75" customHeight="1" x14ac:dyDescent="0.2">
      <c r="A22" s="324"/>
      <c r="B22" s="271" t="s">
        <v>120</v>
      </c>
      <c r="C22" s="272"/>
      <c r="D22" s="273">
        <v>0</v>
      </c>
      <c r="E22" s="270"/>
      <c r="F22" s="270"/>
      <c r="G22" s="273">
        <v>0</v>
      </c>
      <c r="H22" s="325">
        <v>0</v>
      </c>
      <c r="I22" s="328">
        <f>FACTORS!$C$41*D22/453.592</f>
        <v>0</v>
      </c>
      <c r="J22" s="410">
        <f>FACTORS!$D$41*D22/453.592</f>
        <v>0</v>
      </c>
      <c r="K22" s="411">
        <f>FACTORS!$E$41*D22/453.592</f>
        <v>0</v>
      </c>
      <c r="L22" s="225">
        <f>FACTORS!$F$41*D22/453.592</f>
        <v>0</v>
      </c>
      <c r="M22" s="225">
        <f>FACTORS!$G$41*D22/453.592</f>
        <v>0</v>
      </c>
      <c r="N22" s="326">
        <f>FACTORS!$H$41*D22/453.592</f>
        <v>0</v>
      </c>
      <c r="O22" s="365" t="s">
        <v>108</v>
      </c>
      <c r="P22" s="225">
        <f>FACTORS!$J$41*D22/453.592</f>
        <v>0</v>
      </c>
      <c r="Q22" s="356">
        <f>FACTORS!$K$41*D22/453.592</f>
        <v>0</v>
      </c>
      <c r="R22" s="224">
        <f t="shared" ref="R22" si="9">IFERROR((I22*$G22*$H22)/2000, "")</f>
        <v>0</v>
      </c>
      <c r="S22" s="410">
        <f>IFERROR((J22*$G22*$H22)/2000, "")</f>
        <v>0</v>
      </c>
      <c r="T22" s="411">
        <f>IFERROR((K22*$G22*$H22)/2000, "")</f>
        <v>0</v>
      </c>
      <c r="U22" s="327">
        <f t="shared" ref="U22:W22" si="10">IFERROR((L22*$G22*$H22)/2000, "")</f>
        <v>0</v>
      </c>
      <c r="V22" s="327">
        <f t="shared" si="10"/>
        <v>0</v>
      </c>
      <c r="W22" s="327">
        <f t="shared" si="10"/>
        <v>0</v>
      </c>
      <c r="X22" s="327" t="str">
        <f>IFERROR((O22*$G22*$H22)/2000, "--")</f>
        <v>--</v>
      </c>
      <c r="Y22" s="327">
        <f t="shared" ref="Y22:Z22" si="11">IFERROR((P22*$G22*$H22)/2000, "")</f>
        <v>0</v>
      </c>
      <c r="Z22" s="226">
        <f t="shared" si="11"/>
        <v>0</v>
      </c>
      <c r="AA22" s="256"/>
      <c r="AB22" s="256"/>
      <c r="AC22" s="256"/>
      <c r="AD22" s="256"/>
      <c r="AE22" s="256"/>
      <c r="AF22" s="256"/>
      <c r="AG22" s="256"/>
      <c r="AH22" s="256"/>
      <c r="AI22" s="256"/>
      <c r="AJ22" s="256"/>
      <c r="AK22" s="256"/>
      <c r="AL22" s="256"/>
      <c r="AM22" s="256"/>
      <c r="AN22" s="256"/>
      <c r="AO22" s="256"/>
      <c r="AP22" s="256"/>
      <c r="AQ22" s="256"/>
      <c r="AR22" s="256"/>
    </row>
    <row r="23" spans="1:44" s="252" customFormat="1" ht="12.75" customHeight="1" x14ac:dyDescent="0.2">
      <c r="A23" s="248">
        <f>EMISSIONS2!A23+1</f>
        <v>2022</v>
      </c>
      <c r="B23" s="249" t="s">
        <v>123</v>
      </c>
      <c r="C23" s="355"/>
      <c r="D23" s="241"/>
      <c r="E23" s="241"/>
      <c r="F23" s="250"/>
      <c r="G23" s="241"/>
      <c r="H23" s="251"/>
      <c r="I23" s="379">
        <f t="shared" ref="I23:Q23" si="12">SUM(I7:I22)</f>
        <v>0</v>
      </c>
      <c r="J23" s="412">
        <f t="shared" si="12"/>
        <v>0</v>
      </c>
      <c r="K23" s="413">
        <f t="shared" si="12"/>
        <v>0</v>
      </c>
      <c r="L23" s="253">
        <f t="shared" si="12"/>
        <v>0</v>
      </c>
      <c r="M23" s="253">
        <f t="shared" si="12"/>
        <v>0</v>
      </c>
      <c r="N23" s="253">
        <f t="shared" si="12"/>
        <v>0</v>
      </c>
      <c r="O23" s="253">
        <f t="shared" si="12"/>
        <v>0</v>
      </c>
      <c r="P23" s="253">
        <f t="shared" si="12"/>
        <v>0</v>
      </c>
      <c r="Q23" s="253">
        <f t="shared" si="12"/>
        <v>0</v>
      </c>
      <c r="R23" s="382">
        <f t="shared" ref="R23:Z23" si="13">SUM(R7:R22)</f>
        <v>0</v>
      </c>
      <c r="S23" s="412">
        <f t="shared" si="13"/>
        <v>0</v>
      </c>
      <c r="T23" s="413">
        <f t="shared" si="13"/>
        <v>0</v>
      </c>
      <c r="U23" s="253">
        <f t="shared" si="13"/>
        <v>0</v>
      </c>
      <c r="V23" s="253">
        <f t="shared" si="13"/>
        <v>0</v>
      </c>
      <c r="W23" s="253">
        <f t="shared" si="13"/>
        <v>0</v>
      </c>
      <c r="X23" s="253">
        <f t="shared" si="13"/>
        <v>0</v>
      </c>
      <c r="Y23" s="253">
        <f t="shared" si="13"/>
        <v>0</v>
      </c>
      <c r="Z23" s="261">
        <f t="shared" si="13"/>
        <v>0</v>
      </c>
      <c r="AA23" s="256"/>
      <c r="AB23" s="256"/>
      <c r="AC23" s="256"/>
      <c r="AD23" s="256"/>
      <c r="AE23" s="256"/>
      <c r="AF23" s="256"/>
      <c r="AG23" s="256"/>
      <c r="AH23" s="256"/>
      <c r="AI23" s="256"/>
      <c r="AJ23" s="256"/>
      <c r="AK23" s="256"/>
      <c r="AL23" s="256"/>
      <c r="AM23" s="256"/>
      <c r="AN23" s="256"/>
      <c r="AO23" s="256"/>
      <c r="AP23" s="256"/>
      <c r="AQ23" s="256"/>
      <c r="AR23" s="256"/>
    </row>
    <row r="24" spans="1:44" ht="26.1" customHeight="1" x14ac:dyDescent="0.2">
      <c r="A24" s="280" t="s">
        <v>66</v>
      </c>
      <c r="B24" s="76" t="s">
        <v>67</v>
      </c>
      <c r="C24" s="76"/>
      <c r="D24" s="70"/>
      <c r="E24" s="70"/>
      <c r="F24" s="71"/>
      <c r="G24" s="70"/>
      <c r="H24" s="119"/>
      <c r="I24" s="376"/>
      <c r="J24" s="421"/>
      <c r="K24" s="422"/>
      <c r="L24" s="285"/>
      <c r="M24" s="285"/>
      <c r="N24" s="285"/>
      <c r="O24" s="285"/>
      <c r="P24" s="285"/>
      <c r="Q24" s="120"/>
      <c r="R24" s="378">
        <f>33.3*$B$25</f>
        <v>0</v>
      </c>
      <c r="S24" s="417"/>
      <c r="T24" s="418"/>
      <c r="U24" s="288">
        <f>33.3*$B$25</f>
        <v>0</v>
      </c>
      <c r="V24" s="288">
        <f>33.3*$B$25</f>
        <v>0</v>
      </c>
      <c r="W24" s="288">
        <f>33.3*$B$25</f>
        <v>0</v>
      </c>
      <c r="X24" s="288"/>
      <c r="Y24" s="288">
        <f>3400*$B$25^(2/3)</f>
        <v>0</v>
      </c>
      <c r="Z24" s="289"/>
    </row>
    <row r="25" spans="1:44" s="276" customFormat="1" ht="12.75" customHeight="1" x14ac:dyDescent="0.2">
      <c r="A25" s="350"/>
      <c r="B25" s="137">
        <f>EMISSIONS1!B25</f>
        <v>0</v>
      </c>
      <c r="C25" s="137"/>
      <c r="D25" s="11"/>
      <c r="E25" s="11"/>
      <c r="F25" s="136"/>
      <c r="G25" s="11"/>
      <c r="H25" s="72"/>
      <c r="I25" s="321"/>
      <c r="J25" s="387"/>
      <c r="K25" s="416"/>
      <c r="L25" s="153"/>
      <c r="M25" s="153"/>
      <c r="N25" s="153"/>
      <c r="O25" s="153"/>
      <c r="P25" s="153"/>
      <c r="Q25" s="351"/>
      <c r="R25" s="352"/>
      <c r="S25" s="419"/>
      <c r="T25" s="420"/>
      <c r="U25" s="353"/>
      <c r="V25" s="353"/>
      <c r="W25" s="353"/>
      <c r="X25" s="353"/>
      <c r="Y25" s="353"/>
      <c r="Z25" s="354"/>
      <c r="AA25" s="275"/>
      <c r="AB25" s="275"/>
      <c r="AC25" s="275"/>
      <c r="AD25" s="275"/>
      <c r="AE25" s="275"/>
      <c r="AF25" s="275"/>
      <c r="AG25" s="275"/>
      <c r="AH25" s="275"/>
      <c r="AI25" s="275"/>
      <c r="AJ25" s="275"/>
      <c r="AK25" s="275"/>
      <c r="AL25" s="275"/>
      <c r="AM25" s="275"/>
      <c r="AN25" s="275"/>
      <c r="AO25" s="275"/>
      <c r="AP25" s="275"/>
      <c r="AQ25" s="275"/>
      <c r="AR25" s="275"/>
    </row>
    <row r="26" spans="1:44" s="183" customFormat="1" ht="12.75" customHeight="1" x14ac:dyDescent="0.2">
      <c r="A26" s="174" t="s">
        <v>61</v>
      </c>
      <c r="B26" s="175" t="s">
        <v>114</v>
      </c>
      <c r="C26" s="175"/>
      <c r="D26" s="176">
        <v>0</v>
      </c>
      <c r="E26" s="177">
        <f>FACTORS!$I$2*D26</f>
        <v>0</v>
      </c>
      <c r="F26" s="178">
        <f t="shared" ref="F26:F32" si="14">E26*24</f>
        <v>0</v>
      </c>
      <c r="G26" s="179">
        <v>0</v>
      </c>
      <c r="H26" s="180">
        <v>0</v>
      </c>
      <c r="I26" s="184">
        <f>FACTORS!$C$17*D26/453.592</f>
        <v>0</v>
      </c>
      <c r="J26" s="332">
        <f>FACTORS!$D$17*D26/453.592</f>
        <v>0</v>
      </c>
      <c r="K26" s="246">
        <f>FACTORS!$E$17*D26/453.592</f>
        <v>0</v>
      </c>
      <c r="L26" s="181">
        <f>FACTORS!$F$17*D26/453.592</f>
        <v>0</v>
      </c>
      <c r="M26" s="181">
        <f>FACTORS!$G$17*D26/453.592</f>
        <v>0</v>
      </c>
      <c r="N26" s="178">
        <f>FACTORS!$H$17*D26/453.592</f>
        <v>0</v>
      </c>
      <c r="O26" s="181">
        <f>FACTORS!$I$17*D26/453.592</f>
        <v>0</v>
      </c>
      <c r="P26" s="181">
        <f>FACTORS!$J$17*D26/453.592</f>
        <v>0</v>
      </c>
      <c r="Q26" s="191">
        <f>FACTORS!$K$17*D26/453.592</f>
        <v>0</v>
      </c>
      <c r="R26" s="184">
        <f t="shared" ref="R26:W32" si="15">IF(I26=0,0,I26*($F26/($E26*24))*$G26*$H26/2000)</f>
        <v>0</v>
      </c>
      <c r="S26" s="332">
        <f t="shared" si="15"/>
        <v>0</v>
      </c>
      <c r="T26" s="246">
        <f t="shared" si="15"/>
        <v>0</v>
      </c>
      <c r="U26" s="181">
        <f t="shared" si="15"/>
        <v>0</v>
      </c>
      <c r="V26" s="181">
        <f t="shared" si="15"/>
        <v>0</v>
      </c>
      <c r="W26" s="181">
        <f t="shared" si="15"/>
        <v>0</v>
      </c>
      <c r="X26" s="181">
        <f t="shared" ref="X26:X32" si="16">IFERROR(IF(O26=0,0,O26*($F26/($E26*24))*$G26*$H26/2000),"--")</f>
        <v>0</v>
      </c>
      <c r="Y26" s="181">
        <f t="shared" ref="Y26:Y32" si="17">IF(P26=0,0,P26*($F26/($E26*24))*$G26*$H26/2000)</f>
        <v>0</v>
      </c>
      <c r="Z26" s="182">
        <f t="shared" ref="Z26:Z32" si="18">IFERROR(IF(Q26=0,0,Q26*($F26/($E26*24))*$G26*$H26/2000),"--")</f>
        <v>0</v>
      </c>
      <c r="AA26" s="256"/>
      <c r="AB26" s="256"/>
      <c r="AC26" s="256"/>
      <c r="AD26" s="256"/>
      <c r="AE26" s="256"/>
      <c r="AF26" s="256"/>
      <c r="AG26" s="256"/>
      <c r="AH26" s="256"/>
      <c r="AI26" s="256"/>
      <c r="AJ26" s="256"/>
      <c r="AK26" s="256"/>
      <c r="AL26" s="256"/>
      <c r="AM26" s="256"/>
      <c r="AN26" s="256"/>
      <c r="AO26" s="256"/>
      <c r="AP26" s="256"/>
      <c r="AQ26" s="256"/>
      <c r="AR26" s="256"/>
    </row>
    <row r="27" spans="1:44" s="183" customFormat="1" x14ac:dyDescent="0.2">
      <c r="A27" s="174"/>
      <c r="B27" s="175" t="s">
        <v>115</v>
      </c>
      <c r="C27" s="175"/>
      <c r="D27" s="176">
        <v>0</v>
      </c>
      <c r="E27" s="177">
        <f>FACTORS!$I$2*D27</f>
        <v>0</v>
      </c>
      <c r="F27" s="178">
        <f t="shared" si="14"/>
        <v>0</v>
      </c>
      <c r="G27" s="176">
        <v>0</v>
      </c>
      <c r="H27" s="180">
        <v>0</v>
      </c>
      <c r="I27" s="184">
        <f>FACTORS!$C$17*D27/453.592</f>
        <v>0</v>
      </c>
      <c r="J27" s="181">
        <f>FACTORS!$D$17*D27/453.592</f>
        <v>0</v>
      </c>
      <c r="K27" s="246">
        <f>FACTORS!$E$17*D27/453.592</f>
        <v>0</v>
      </c>
      <c r="L27" s="181">
        <f>FACTORS!$F$17*D27/453.592</f>
        <v>0</v>
      </c>
      <c r="M27" s="181">
        <f>FACTORS!$G$17*D27/453.592</f>
        <v>0</v>
      </c>
      <c r="N27" s="178">
        <f>FACTORS!$H$17*D27/453.592</f>
        <v>0</v>
      </c>
      <c r="O27" s="181">
        <f>FACTORS!$I$17*D27/453.592</f>
        <v>0</v>
      </c>
      <c r="P27" s="181">
        <f>FACTORS!$J$17*D27/453.592</f>
        <v>0</v>
      </c>
      <c r="Q27" s="191">
        <f>FACTORS!$K$17*D27/453.592</f>
        <v>0</v>
      </c>
      <c r="R27" s="184">
        <f t="shared" si="15"/>
        <v>0</v>
      </c>
      <c r="S27" s="181">
        <f t="shared" si="15"/>
        <v>0</v>
      </c>
      <c r="T27" s="181">
        <f t="shared" si="15"/>
        <v>0</v>
      </c>
      <c r="U27" s="181">
        <f t="shared" si="15"/>
        <v>0</v>
      </c>
      <c r="V27" s="181">
        <f t="shared" si="15"/>
        <v>0</v>
      </c>
      <c r="W27" s="181">
        <f t="shared" si="15"/>
        <v>0</v>
      </c>
      <c r="X27" s="181">
        <f t="shared" si="16"/>
        <v>0</v>
      </c>
      <c r="Y27" s="181">
        <f t="shared" si="17"/>
        <v>0</v>
      </c>
      <c r="Z27" s="182">
        <f t="shared" si="18"/>
        <v>0</v>
      </c>
      <c r="AA27" s="256"/>
      <c r="AB27" s="256"/>
      <c r="AC27" s="256"/>
      <c r="AD27" s="256"/>
      <c r="AE27" s="256"/>
      <c r="AF27" s="256"/>
      <c r="AG27" s="256"/>
      <c r="AH27" s="256"/>
      <c r="AI27" s="256"/>
      <c r="AJ27" s="256"/>
      <c r="AK27" s="256"/>
      <c r="AL27" s="256"/>
      <c r="AM27" s="256"/>
      <c r="AN27" s="256"/>
      <c r="AO27" s="256"/>
      <c r="AP27" s="256"/>
      <c r="AQ27" s="256"/>
      <c r="AR27" s="256"/>
    </row>
    <row r="28" spans="1:44" s="183" customFormat="1" x14ac:dyDescent="0.2">
      <c r="A28" s="174"/>
      <c r="B28" s="175" t="s">
        <v>116</v>
      </c>
      <c r="C28" s="175"/>
      <c r="D28" s="176">
        <v>0</v>
      </c>
      <c r="E28" s="177">
        <f>FACTORS!$I$2*D28</f>
        <v>0</v>
      </c>
      <c r="F28" s="178">
        <f t="shared" si="14"/>
        <v>0</v>
      </c>
      <c r="G28" s="176">
        <v>0</v>
      </c>
      <c r="H28" s="180">
        <v>0</v>
      </c>
      <c r="I28" s="184">
        <f>FACTORS!$C$17*D28/453.592</f>
        <v>0</v>
      </c>
      <c r="J28" s="181">
        <f>FACTORS!$D$17*D28/453.592</f>
        <v>0</v>
      </c>
      <c r="K28" s="246">
        <f>FACTORS!$E$17*D28/453.592</f>
        <v>0</v>
      </c>
      <c r="L28" s="181">
        <f>FACTORS!$F$17*D28/453.592</f>
        <v>0</v>
      </c>
      <c r="M28" s="181">
        <f>FACTORS!$G$17*D28/453.592</f>
        <v>0</v>
      </c>
      <c r="N28" s="178">
        <f>FACTORS!$H$17*D28/453.592</f>
        <v>0</v>
      </c>
      <c r="O28" s="181">
        <f>FACTORS!$I$17*D28/453.592</f>
        <v>0</v>
      </c>
      <c r="P28" s="181">
        <f>FACTORS!$J$17*D28/453.592</f>
        <v>0</v>
      </c>
      <c r="Q28" s="191">
        <f>FACTORS!$K$17*D28/453.592</f>
        <v>0</v>
      </c>
      <c r="R28" s="184">
        <f t="shared" si="15"/>
        <v>0</v>
      </c>
      <c r="S28" s="181">
        <f t="shared" si="15"/>
        <v>0</v>
      </c>
      <c r="T28" s="181">
        <f t="shared" si="15"/>
        <v>0</v>
      </c>
      <c r="U28" s="181">
        <f t="shared" si="15"/>
        <v>0</v>
      </c>
      <c r="V28" s="181">
        <f t="shared" si="15"/>
        <v>0</v>
      </c>
      <c r="W28" s="181">
        <f t="shared" si="15"/>
        <v>0</v>
      </c>
      <c r="X28" s="181">
        <f t="shared" si="16"/>
        <v>0</v>
      </c>
      <c r="Y28" s="181">
        <f t="shared" si="17"/>
        <v>0</v>
      </c>
      <c r="Z28" s="182">
        <f t="shared" si="18"/>
        <v>0</v>
      </c>
      <c r="AA28" s="256"/>
      <c r="AB28" s="256"/>
      <c r="AC28" s="256"/>
      <c r="AD28" s="256"/>
      <c r="AE28" s="256"/>
      <c r="AF28" s="256"/>
      <c r="AG28" s="256"/>
      <c r="AH28" s="256"/>
      <c r="AI28" s="256"/>
      <c r="AJ28" s="256"/>
      <c r="AK28" s="256"/>
      <c r="AL28" s="256"/>
      <c r="AM28" s="256"/>
      <c r="AN28" s="256"/>
      <c r="AO28" s="256"/>
      <c r="AP28" s="256"/>
      <c r="AQ28" s="256"/>
      <c r="AR28" s="256"/>
    </row>
    <row r="29" spans="1:44" s="183" customFormat="1" ht="12.75" customHeight="1" x14ac:dyDescent="0.2">
      <c r="A29" s="174" t="s">
        <v>63</v>
      </c>
      <c r="B29" s="175" t="s">
        <v>118</v>
      </c>
      <c r="C29" s="175"/>
      <c r="D29" s="176">
        <v>0</v>
      </c>
      <c r="E29" s="177">
        <f>FACTORS!$I$2*D29</f>
        <v>0</v>
      </c>
      <c r="F29" s="178">
        <f t="shared" si="14"/>
        <v>0</v>
      </c>
      <c r="G29" s="179">
        <v>0</v>
      </c>
      <c r="H29" s="180">
        <v>0</v>
      </c>
      <c r="I29" s="184">
        <f>FACTORS!$C$17*D29/453.592</f>
        <v>0</v>
      </c>
      <c r="J29" s="181">
        <f>FACTORS!$D$17*D29/453.592</f>
        <v>0</v>
      </c>
      <c r="K29" s="246">
        <f>FACTORS!$E$17*D29/453.592</f>
        <v>0</v>
      </c>
      <c r="L29" s="181">
        <f>FACTORS!$F$17*D29/453.592</f>
        <v>0</v>
      </c>
      <c r="M29" s="181">
        <f>FACTORS!$G$17*D29/453.592</f>
        <v>0</v>
      </c>
      <c r="N29" s="178">
        <f>FACTORS!$H$17*D29/453.592</f>
        <v>0</v>
      </c>
      <c r="O29" s="181">
        <f>FACTORS!$I$17*D29/453.592</f>
        <v>0</v>
      </c>
      <c r="P29" s="181">
        <f>FACTORS!$J$17*D29/453.592</f>
        <v>0</v>
      </c>
      <c r="Q29" s="191">
        <f>FACTORS!$K$17*D29/453.592</f>
        <v>0</v>
      </c>
      <c r="R29" s="184">
        <f t="shared" si="15"/>
        <v>0</v>
      </c>
      <c r="S29" s="181">
        <f t="shared" si="15"/>
        <v>0</v>
      </c>
      <c r="T29" s="181">
        <f t="shared" si="15"/>
        <v>0</v>
      </c>
      <c r="U29" s="181">
        <f t="shared" si="15"/>
        <v>0</v>
      </c>
      <c r="V29" s="181">
        <f t="shared" si="15"/>
        <v>0</v>
      </c>
      <c r="W29" s="181">
        <f t="shared" si="15"/>
        <v>0</v>
      </c>
      <c r="X29" s="181">
        <f t="shared" si="16"/>
        <v>0</v>
      </c>
      <c r="Y29" s="181">
        <f t="shared" si="17"/>
        <v>0</v>
      </c>
      <c r="Z29" s="182">
        <f t="shared" si="18"/>
        <v>0</v>
      </c>
      <c r="AA29" s="256"/>
      <c r="AB29" s="256"/>
      <c r="AC29" s="256"/>
      <c r="AD29" s="256"/>
      <c r="AE29" s="256"/>
      <c r="AF29" s="256"/>
      <c r="AG29" s="256"/>
      <c r="AH29" s="256"/>
      <c r="AI29" s="256"/>
      <c r="AJ29" s="256"/>
      <c r="AK29" s="256"/>
      <c r="AL29" s="256"/>
      <c r="AM29" s="256"/>
      <c r="AN29" s="256"/>
      <c r="AO29" s="256"/>
      <c r="AP29" s="256"/>
      <c r="AQ29" s="256"/>
      <c r="AR29" s="256"/>
    </row>
    <row r="30" spans="1:44" s="183" customFormat="1" ht="12.75" customHeight="1" x14ac:dyDescent="0.2">
      <c r="A30" s="174" t="s">
        <v>62</v>
      </c>
      <c r="B30" s="175" t="s">
        <v>117</v>
      </c>
      <c r="C30" s="175"/>
      <c r="D30" s="176">
        <v>0</v>
      </c>
      <c r="E30" s="177">
        <f>FACTORS!$I$2*D30</f>
        <v>0</v>
      </c>
      <c r="F30" s="178">
        <f t="shared" si="14"/>
        <v>0</v>
      </c>
      <c r="G30" s="179">
        <v>0</v>
      </c>
      <c r="H30" s="180">
        <v>0</v>
      </c>
      <c r="I30" s="184">
        <f>FACTORS!$C$17*D30/453.592</f>
        <v>0</v>
      </c>
      <c r="J30" s="181">
        <f>FACTORS!$D$17*D30/453.592</f>
        <v>0</v>
      </c>
      <c r="K30" s="246">
        <f>FACTORS!$E$17*D30/453.592</f>
        <v>0</v>
      </c>
      <c r="L30" s="181">
        <f>FACTORS!$F$17*D30/453.592</f>
        <v>0</v>
      </c>
      <c r="M30" s="181">
        <f>FACTORS!$G$17*D30/453.592</f>
        <v>0</v>
      </c>
      <c r="N30" s="178">
        <f>FACTORS!$H$17*D30/453.592</f>
        <v>0</v>
      </c>
      <c r="O30" s="181">
        <f>FACTORS!$I$17*D30/453.592</f>
        <v>0</v>
      </c>
      <c r="P30" s="181">
        <f>FACTORS!$J$17*D30/453.592</f>
        <v>0</v>
      </c>
      <c r="Q30" s="191">
        <f>FACTORS!$K$17*D30/453.592</f>
        <v>0</v>
      </c>
      <c r="R30" s="184">
        <f t="shared" si="15"/>
        <v>0</v>
      </c>
      <c r="S30" s="181">
        <f t="shared" si="15"/>
        <v>0</v>
      </c>
      <c r="T30" s="181">
        <f t="shared" si="15"/>
        <v>0</v>
      </c>
      <c r="U30" s="181">
        <f t="shared" si="15"/>
        <v>0</v>
      </c>
      <c r="V30" s="181">
        <f t="shared" si="15"/>
        <v>0</v>
      </c>
      <c r="W30" s="181">
        <f t="shared" si="15"/>
        <v>0</v>
      </c>
      <c r="X30" s="181">
        <f t="shared" si="16"/>
        <v>0</v>
      </c>
      <c r="Y30" s="181">
        <f t="shared" si="17"/>
        <v>0</v>
      </c>
      <c r="Z30" s="182">
        <f t="shared" si="18"/>
        <v>0</v>
      </c>
      <c r="AA30" s="256"/>
      <c r="AB30" s="256"/>
      <c r="AC30" s="256"/>
      <c r="AD30" s="256"/>
      <c r="AE30" s="256"/>
      <c r="AF30" s="256"/>
      <c r="AG30" s="256"/>
      <c r="AH30" s="256"/>
      <c r="AI30" s="256"/>
      <c r="AJ30" s="256"/>
      <c r="AK30" s="256"/>
      <c r="AL30" s="256"/>
      <c r="AM30" s="256"/>
      <c r="AN30" s="256"/>
      <c r="AO30" s="256"/>
      <c r="AP30" s="256"/>
      <c r="AQ30" s="256"/>
      <c r="AR30" s="256"/>
    </row>
    <row r="31" spans="1:44" s="183" customFormat="1" x14ac:dyDescent="0.2">
      <c r="A31" s="174"/>
      <c r="B31" s="175" t="s">
        <v>115</v>
      </c>
      <c r="C31" s="175"/>
      <c r="D31" s="176">
        <v>0</v>
      </c>
      <c r="E31" s="177">
        <f>FACTORS!$I$2*D31</f>
        <v>0</v>
      </c>
      <c r="F31" s="178">
        <f t="shared" si="14"/>
        <v>0</v>
      </c>
      <c r="G31" s="176">
        <v>0</v>
      </c>
      <c r="H31" s="180">
        <v>0</v>
      </c>
      <c r="I31" s="184">
        <f>FACTORS!$C$17*D31/453.592</f>
        <v>0</v>
      </c>
      <c r="J31" s="181">
        <f>FACTORS!$D$17*D31/453.592</f>
        <v>0</v>
      </c>
      <c r="K31" s="246">
        <f>FACTORS!$E$17*D31/453.592</f>
        <v>0</v>
      </c>
      <c r="L31" s="181">
        <f>FACTORS!$F$17*D31/453.592</f>
        <v>0</v>
      </c>
      <c r="M31" s="181">
        <f>FACTORS!$G$17*D31/453.592</f>
        <v>0</v>
      </c>
      <c r="N31" s="178">
        <f>FACTORS!$H$17*D31/453.592</f>
        <v>0</v>
      </c>
      <c r="O31" s="181">
        <f>FACTORS!$I$17*D31/453.592</f>
        <v>0</v>
      </c>
      <c r="P31" s="181">
        <f>FACTORS!$J$17*D31/453.592</f>
        <v>0</v>
      </c>
      <c r="Q31" s="191">
        <f>FACTORS!$K$17*D31/453.592</f>
        <v>0</v>
      </c>
      <c r="R31" s="184">
        <f t="shared" si="15"/>
        <v>0</v>
      </c>
      <c r="S31" s="181">
        <f t="shared" si="15"/>
        <v>0</v>
      </c>
      <c r="T31" s="181">
        <f t="shared" si="15"/>
        <v>0</v>
      </c>
      <c r="U31" s="181">
        <f t="shared" si="15"/>
        <v>0</v>
      </c>
      <c r="V31" s="181">
        <f t="shared" si="15"/>
        <v>0</v>
      </c>
      <c r="W31" s="181">
        <f t="shared" si="15"/>
        <v>0</v>
      </c>
      <c r="X31" s="181">
        <f t="shared" si="16"/>
        <v>0</v>
      </c>
      <c r="Y31" s="181">
        <f t="shared" si="17"/>
        <v>0</v>
      </c>
      <c r="Z31" s="182">
        <f t="shared" si="18"/>
        <v>0</v>
      </c>
      <c r="AA31" s="256"/>
      <c r="AB31" s="256"/>
      <c r="AC31" s="256"/>
      <c r="AD31" s="256"/>
      <c r="AE31" s="256"/>
      <c r="AF31" s="256"/>
      <c r="AG31" s="256"/>
      <c r="AH31" s="256"/>
      <c r="AI31" s="256"/>
      <c r="AJ31" s="256"/>
      <c r="AK31" s="256"/>
      <c r="AL31" s="256"/>
      <c r="AM31" s="256"/>
      <c r="AN31" s="256"/>
      <c r="AO31" s="256"/>
      <c r="AP31" s="256"/>
      <c r="AQ31" s="256"/>
      <c r="AR31" s="256"/>
    </row>
    <row r="32" spans="1:44" s="183" customFormat="1" ht="12.75" customHeight="1" x14ac:dyDescent="0.2">
      <c r="A32" s="339" t="s">
        <v>64</v>
      </c>
      <c r="B32" s="340" t="s">
        <v>119</v>
      </c>
      <c r="C32" s="340"/>
      <c r="D32" s="341">
        <v>0</v>
      </c>
      <c r="E32" s="342">
        <f>FACTORS!$I$2*D32</f>
        <v>0</v>
      </c>
      <c r="F32" s="343">
        <f t="shared" si="14"/>
        <v>0</v>
      </c>
      <c r="G32" s="344">
        <v>0</v>
      </c>
      <c r="H32" s="345">
        <v>0</v>
      </c>
      <c r="I32" s="346">
        <f>FACTORS!$C$17*D32/453.592</f>
        <v>0</v>
      </c>
      <c r="J32" s="347">
        <f>FACTORS!$D$17*D32/453.592</f>
        <v>0</v>
      </c>
      <c r="K32" s="427">
        <f>FACTORS!$E$17*D32/453.592</f>
        <v>0</v>
      </c>
      <c r="L32" s="347">
        <f>FACTORS!$F$17*D32/453.592</f>
        <v>0</v>
      </c>
      <c r="M32" s="347">
        <f>FACTORS!$G$17*D32/453.592</f>
        <v>0</v>
      </c>
      <c r="N32" s="343">
        <f>FACTORS!$H$17*D32/453.592</f>
        <v>0</v>
      </c>
      <c r="O32" s="347">
        <f>FACTORS!$I$17*D32/453.592</f>
        <v>0</v>
      </c>
      <c r="P32" s="347">
        <f>FACTORS!$J$17*D32/453.592</f>
        <v>0</v>
      </c>
      <c r="Q32" s="348">
        <f>FACTORS!$K$17*D32/453.592</f>
        <v>0</v>
      </c>
      <c r="R32" s="346">
        <f t="shared" si="15"/>
        <v>0</v>
      </c>
      <c r="S32" s="347">
        <f t="shared" si="15"/>
        <v>0</v>
      </c>
      <c r="T32" s="347">
        <f>IF(K32=0,0,K32*($F32/($E32*24))*$G32*$H32/2000)</f>
        <v>0</v>
      </c>
      <c r="U32" s="347">
        <f t="shared" si="15"/>
        <v>0</v>
      </c>
      <c r="V32" s="347">
        <f t="shared" si="15"/>
        <v>0</v>
      </c>
      <c r="W32" s="347">
        <f t="shared" si="15"/>
        <v>0</v>
      </c>
      <c r="X32" s="347">
        <f t="shared" si="16"/>
        <v>0</v>
      </c>
      <c r="Y32" s="347">
        <f t="shared" si="17"/>
        <v>0</v>
      </c>
      <c r="Z32" s="349">
        <f t="shared" si="18"/>
        <v>0</v>
      </c>
      <c r="AA32" s="256"/>
      <c r="AB32" s="256"/>
      <c r="AC32" s="256"/>
      <c r="AD32" s="256"/>
      <c r="AE32" s="256"/>
      <c r="AF32" s="256"/>
      <c r="AG32" s="256"/>
      <c r="AH32" s="256"/>
      <c r="AI32" s="256"/>
      <c r="AJ32" s="256"/>
      <c r="AK32" s="256"/>
      <c r="AL32" s="256"/>
      <c r="AM32" s="256"/>
      <c r="AN32" s="256"/>
      <c r="AO32" s="256"/>
      <c r="AP32" s="256"/>
      <c r="AQ32" s="256"/>
      <c r="AR32" s="256"/>
    </row>
    <row r="33" spans="1:44" ht="27.75" customHeight="1" x14ac:dyDescent="0.2">
      <c r="A33" s="361" t="s">
        <v>184</v>
      </c>
      <c r="B33" s="363" t="s">
        <v>107</v>
      </c>
      <c r="C33" s="111"/>
      <c r="D33" s="122"/>
      <c r="E33" s="42" t="s">
        <v>53</v>
      </c>
      <c r="F33" s="43" t="s">
        <v>54</v>
      </c>
      <c r="G33" s="50"/>
      <c r="H33" s="119"/>
      <c r="I33" s="158"/>
      <c r="J33" s="387"/>
      <c r="K33" s="416"/>
      <c r="L33" s="153"/>
      <c r="M33" s="153"/>
      <c r="N33" s="73"/>
      <c r="O33" s="153"/>
      <c r="P33" s="153"/>
      <c r="Q33" s="120"/>
      <c r="R33" s="158"/>
      <c r="S33" s="387"/>
      <c r="T33" s="387"/>
      <c r="U33" s="153"/>
      <c r="V33" s="153"/>
      <c r="W33" s="153"/>
      <c r="X33" s="153"/>
      <c r="Y33" s="153"/>
      <c r="Z33" s="322"/>
    </row>
    <row r="34" spans="1:44" ht="12.75" customHeight="1" x14ac:dyDescent="0.2">
      <c r="A34" s="330"/>
      <c r="B34" s="364" t="s">
        <v>148</v>
      </c>
      <c r="C34" s="333"/>
      <c r="D34" s="334" t="s">
        <v>132</v>
      </c>
      <c r="E34" s="74"/>
      <c r="F34" s="74"/>
      <c r="G34" s="335"/>
      <c r="H34" s="336"/>
      <c r="I34" s="337"/>
      <c r="J34" s="423"/>
      <c r="K34" s="424"/>
      <c r="L34" s="68"/>
      <c r="M34" s="68"/>
      <c r="N34" s="329"/>
      <c r="O34" s="68"/>
      <c r="P34" s="68"/>
      <c r="Q34" s="338"/>
      <c r="R34" s="337"/>
      <c r="S34" s="423"/>
      <c r="T34" s="423"/>
      <c r="U34" s="68"/>
      <c r="V34" s="68"/>
      <c r="W34" s="68"/>
      <c r="X34" s="68"/>
      <c r="Y34" s="68"/>
      <c r="Z34" s="69"/>
    </row>
    <row r="35" spans="1:44" ht="12.75" customHeight="1" x14ac:dyDescent="0.2">
      <c r="A35" s="330"/>
      <c r="B35" s="363" t="s">
        <v>160</v>
      </c>
      <c r="C35" s="157"/>
      <c r="D35" s="122" t="s">
        <v>100</v>
      </c>
      <c r="E35" s="74"/>
      <c r="F35" s="74"/>
      <c r="G35" s="70" t="s">
        <v>60</v>
      </c>
      <c r="H35" s="119" t="s">
        <v>71</v>
      </c>
      <c r="I35" s="158"/>
      <c r="J35" s="387"/>
      <c r="K35" s="416"/>
      <c r="L35" s="153"/>
      <c r="M35" s="153"/>
      <c r="N35" s="73"/>
      <c r="O35" s="153"/>
      <c r="P35" s="153"/>
      <c r="Q35" s="120"/>
      <c r="R35" s="319"/>
      <c r="S35" s="423"/>
      <c r="T35" s="424"/>
      <c r="U35" s="68"/>
      <c r="V35" s="68"/>
      <c r="W35" s="68"/>
      <c r="X35" s="68"/>
      <c r="Y35" s="68"/>
      <c r="Z35" s="69"/>
    </row>
    <row r="36" spans="1:44" s="183" customFormat="1" ht="12.75" customHeight="1" x14ac:dyDescent="0.2">
      <c r="A36" s="174"/>
      <c r="B36" s="242" t="s">
        <v>153</v>
      </c>
      <c r="C36" s="323"/>
      <c r="D36" s="244"/>
      <c r="E36" s="176">
        <v>0</v>
      </c>
      <c r="F36" s="245">
        <f>E36*24</f>
        <v>0</v>
      </c>
      <c r="G36" s="176">
        <v>0</v>
      </c>
      <c r="H36" s="180">
        <v>0</v>
      </c>
      <c r="I36" s="184">
        <f>IFERROR(FACTORS!$C$34*E36,"--")</f>
        <v>0</v>
      </c>
      <c r="J36" s="181">
        <f>IFERROR(FACTORS!$D$34*E36,"--")</f>
        <v>0</v>
      </c>
      <c r="K36" s="246">
        <f>IFERROR(FACTORS!$E$34*E36,"--")</f>
        <v>0</v>
      </c>
      <c r="L36" s="178">
        <f>IFERROR(FACTORS!$F$34*E36,"--")</f>
        <v>0</v>
      </c>
      <c r="M36" s="178">
        <f>IFERROR(FACTORS!$G$34*E36,"--")</f>
        <v>0</v>
      </c>
      <c r="N36" s="178">
        <f>IFERROR(FACTORS!$H$34*E36,"--")</f>
        <v>0</v>
      </c>
      <c r="O36" s="181" t="str">
        <f>IFERROR(FACTORS!$I$34*E36,"--")</f>
        <v>--</v>
      </c>
      <c r="P36" s="181">
        <f>IFERROR(FACTORS!$J$34*E36,"--")</f>
        <v>0</v>
      </c>
      <c r="Q36" s="191">
        <f>IFERROR(FACTORS!$K$34*E36,"--")</f>
        <v>0</v>
      </c>
      <c r="R36" s="331">
        <f t="shared" ref="R36:S42" si="19">IFERROR((I36*$G36*$H36)/2000, "")</f>
        <v>0</v>
      </c>
      <c r="S36" s="332">
        <f>IFERROR((J36*$G36*$H36)/2000, "")</f>
        <v>0</v>
      </c>
      <c r="T36" s="317">
        <f t="shared" ref="T36:W43" si="20">IFERROR((K36*$G36*$H36)/2000, "")</f>
        <v>0</v>
      </c>
      <c r="U36" s="317">
        <f t="shared" si="20"/>
        <v>0</v>
      </c>
      <c r="V36" s="317">
        <f t="shared" si="20"/>
        <v>0</v>
      </c>
      <c r="W36" s="317">
        <f t="shared" si="20"/>
        <v>0</v>
      </c>
      <c r="X36" s="317" t="str">
        <f t="shared" ref="X36:X43" si="21">IFERROR((O36*$G36*$H36)/2000, "--")</f>
        <v>--</v>
      </c>
      <c r="Y36" s="317">
        <f t="shared" ref="Y36:Z43" si="22">IFERROR((P36*$G36*$H36)/2000, "")</f>
        <v>0</v>
      </c>
      <c r="Z36" s="318">
        <f t="shared" si="22"/>
        <v>0</v>
      </c>
      <c r="AA36" s="256"/>
      <c r="AB36" s="256"/>
      <c r="AC36" s="256"/>
      <c r="AD36" s="256"/>
      <c r="AE36" s="256"/>
      <c r="AF36" s="256"/>
      <c r="AG36" s="256"/>
      <c r="AH36" s="256"/>
      <c r="AI36" s="256"/>
      <c r="AJ36" s="256"/>
      <c r="AK36" s="256"/>
      <c r="AL36" s="256"/>
      <c r="AM36" s="256"/>
      <c r="AN36" s="256"/>
      <c r="AO36" s="256"/>
      <c r="AP36" s="256"/>
      <c r="AQ36" s="256"/>
      <c r="AR36" s="256"/>
    </row>
    <row r="37" spans="1:44" s="183" customFormat="1" ht="12.75" customHeight="1" x14ac:dyDescent="0.2">
      <c r="A37" s="174"/>
      <c r="B37" s="242" t="s">
        <v>87</v>
      </c>
      <c r="C37" s="243"/>
      <c r="D37" s="244"/>
      <c r="E37" s="176">
        <v>0</v>
      </c>
      <c r="F37" s="245">
        <f>E37*24</f>
        <v>0</v>
      </c>
      <c r="G37" s="176">
        <v>0</v>
      </c>
      <c r="H37" s="180">
        <v>0</v>
      </c>
      <c r="I37" s="184">
        <f>IFERROR(FACTORS!$C$35*E37,"--")</f>
        <v>0</v>
      </c>
      <c r="J37" s="181">
        <f>IFERROR(FACTORS!$D$35*E37,"--")</f>
        <v>0</v>
      </c>
      <c r="K37" s="246">
        <f>IFERROR(FACTORS!$E$35*E37,"--")</f>
        <v>0</v>
      </c>
      <c r="L37" s="178">
        <f>IFERROR(FACTORS!$F$35*E37,"--")</f>
        <v>0</v>
      </c>
      <c r="M37" s="178">
        <f>IFERROR(FACTORS!$G$35*E37,"--")</f>
        <v>0</v>
      </c>
      <c r="N37" s="178">
        <f>IFERROR(FACTORS!$H$35*E37,"--")</f>
        <v>0</v>
      </c>
      <c r="O37" s="181" t="str">
        <f>IFERROR(FACTORS!$I$35*E37,"--")</f>
        <v>--</v>
      </c>
      <c r="P37" s="181">
        <f>IFERROR(FACTORS!$J$35*E37,"--")</f>
        <v>0</v>
      </c>
      <c r="Q37" s="191">
        <f>IFERROR(FACTORS!$K$35*E37,"--")</f>
        <v>0</v>
      </c>
      <c r="R37" s="184">
        <f t="shared" si="19"/>
        <v>0</v>
      </c>
      <c r="S37" s="181">
        <f t="shared" si="19"/>
        <v>0</v>
      </c>
      <c r="T37" s="246">
        <f t="shared" si="20"/>
        <v>0</v>
      </c>
      <c r="U37" s="246">
        <f t="shared" si="20"/>
        <v>0</v>
      </c>
      <c r="V37" s="246">
        <f t="shared" si="20"/>
        <v>0</v>
      </c>
      <c r="W37" s="246">
        <f t="shared" si="20"/>
        <v>0</v>
      </c>
      <c r="X37" s="246" t="str">
        <f t="shared" si="21"/>
        <v>--</v>
      </c>
      <c r="Y37" s="246">
        <f t="shared" si="22"/>
        <v>0</v>
      </c>
      <c r="Z37" s="182">
        <f t="shared" si="22"/>
        <v>0</v>
      </c>
      <c r="AA37" s="256"/>
      <c r="AB37" s="256"/>
      <c r="AC37" s="256"/>
      <c r="AD37" s="256"/>
      <c r="AE37" s="256"/>
      <c r="AF37" s="256"/>
      <c r="AG37" s="256"/>
      <c r="AH37" s="256"/>
      <c r="AI37" s="256"/>
      <c r="AJ37" s="256"/>
      <c r="AK37" s="256"/>
      <c r="AL37" s="256"/>
      <c r="AM37" s="256"/>
      <c r="AN37" s="256"/>
      <c r="AO37" s="256"/>
      <c r="AP37" s="256"/>
      <c r="AQ37" s="256"/>
      <c r="AR37" s="256"/>
    </row>
    <row r="38" spans="1:44" s="183" customFormat="1" ht="12.75" customHeight="1" x14ac:dyDescent="0.2">
      <c r="A38" s="174"/>
      <c r="B38" s="242" t="s">
        <v>102</v>
      </c>
      <c r="C38" s="243"/>
      <c r="D38" s="244"/>
      <c r="E38" s="176">
        <v>0</v>
      </c>
      <c r="F38" s="245">
        <f t="shared" ref="F38:F41" si="23">E38*24</f>
        <v>0</v>
      </c>
      <c r="G38" s="176">
        <v>0</v>
      </c>
      <c r="H38" s="180">
        <v>0</v>
      </c>
      <c r="I38" s="184">
        <f>IFERROR(FACTORS!$C$36*E38,"--")</f>
        <v>0</v>
      </c>
      <c r="J38" s="181">
        <f>IFERROR(FACTORS!$D$36*E38,"--")</f>
        <v>0</v>
      </c>
      <c r="K38" s="246">
        <f>IFERROR(FACTORS!$E$36*E38,"--")</f>
        <v>0</v>
      </c>
      <c r="L38" s="178">
        <f>IFERROR(FACTORS!$F$36*E38,"--")</f>
        <v>0</v>
      </c>
      <c r="M38" s="178">
        <f>IFERROR(FACTORS!$G$36*E38,"--")</f>
        <v>0</v>
      </c>
      <c r="N38" s="178">
        <f>IFERROR(FACTORS!$H$36*E38,"--")</f>
        <v>0</v>
      </c>
      <c r="O38" s="181" t="str">
        <f>IFERROR(FACTORS!$I$36*E38,"--")</f>
        <v>--</v>
      </c>
      <c r="P38" s="181">
        <f>IFERROR(FACTORS!$J$36*E38,"--")</f>
        <v>0</v>
      </c>
      <c r="Q38" s="191">
        <f>IFERROR(FACTORS!$K$36*E38,"--")</f>
        <v>0</v>
      </c>
      <c r="R38" s="184">
        <f t="shared" si="19"/>
        <v>0</v>
      </c>
      <c r="S38" s="181">
        <f t="shared" si="19"/>
        <v>0</v>
      </c>
      <c r="T38" s="246">
        <f t="shared" si="20"/>
        <v>0</v>
      </c>
      <c r="U38" s="246">
        <f t="shared" si="20"/>
        <v>0</v>
      </c>
      <c r="V38" s="246">
        <f t="shared" si="20"/>
        <v>0</v>
      </c>
      <c r="W38" s="246">
        <f t="shared" si="20"/>
        <v>0</v>
      </c>
      <c r="X38" s="246" t="str">
        <f t="shared" si="21"/>
        <v>--</v>
      </c>
      <c r="Y38" s="246">
        <f t="shared" si="22"/>
        <v>0</v>
      </c>
      <c r="Z38" s="182">
        <f t="shared" si="22"/>
        <v>0</v>
      </c>
      <c r="AA38" s="256"/>
      <c r="AB38" s="256"/>
      <c r="AC38" s="256"/>
      <c r="AD38" s="256"/>
      <c r="AE38" s="256"/>
      <c r="AF38" s="256"/>
      <c r="AG38" s="256"/>
      <c r="AH38" s="256"/>
      <c r="AI38" s="256"/>
      <c r="AJ38" s="256"/>
      <c r="AK38" s="256"/>
      <c r="AL38" s="256"/>
      <c r="AM38" s="256"/>
      <c r="AN38" s="256"/>
      <c r="AO38" s="256"/>
      <c r="AP38" s="256"/>
      <c r="AQ38" s="256"/>
      <c r="AR38" s="256"/>
    </row>
    <row r="39" spans="1:44" s="183" customFormat="1" ht="12.75" customHeight="1" x14ac:dyDescent="0.2">
      <c r="A39" s="174"/>
      <c r="B39" s="242" t="s">
        <v>154</v>
      </c>
      <c r="C39" s="243"/>
      <c r="D39" s="244"/>
      <c r="E39" s="176">
        <v>0</v>
      </c>
      <c r="F39" s="245">
        <f t="shared" si="23"/>
        <v>0</v>
      </c>
      <c r="G39" s="176">
        <v>0</v>
      </c>
      <c r="H39" s="180">
        <v>0</v>
      </c>
      <c r="I39" s="184">
        <f>IFERROR(FACTORS!$C$37*E39,"--")</f>
        <v>0</v>
      </c>
      <c r="J39" s="181">
        <f>IFERROR(FACTORS!$D$37*E39,"--")</f>
        <v>0</v>
      </c>
      <c r="K39" s="246">
        <f>IFERROR(FACTORS!$E$37*E39,"--")</f>
        <v>0</v>
      </c>
      <c r="L39" s="178">
        <f>IFERROR(FACTORS!$F$37*E39,"--")</f>
        <v>0</v>
      </c>
      <c r="M39" s="178">
        <f>IFERROR(FACTORS!$G$37*E39,"--")</f>
        <v>0</v>
      </c>
      <c r="N39" s="178">
        <f>IFERROR(FACTORS!$H$37*E39,"--")</f>
        <v>0</v>
      </c>
      <c r="O39" s="181" t="str">
        <f>IFERROR(FACTORS!$I$37*E39,"--")</f>
        <v>--</v>
      </c>
      <c r="P39" s="181">
        <f>IFERROR(FACTORS!$J$37*E39,"--")</f>
        <v>0</v>
      </c>
      <c r="Q39" s="191">
        <f>IFERROR(FACTORS!$K$37*E39,"--")</f>
        <v>0</v>
      </c>
      <c r="R39" s="184">
        <f t="shared" si="19"/>
        <v>0</v>
      </c>
      <c r="S39" s="181">
        <f t="shared" si="19"/>
        <v>0</v>
      </c>
      <c r="T39" s="246">
        <f t="shared" si="20"/>
        <v>0</v>
      </c>
      <c r="U39" s="246">
        <f t="shared" si="20"/>
        <v>0</v>
      </c>
      <c r="V39" s="246">
        <f t="shared" si="20"/>
        <v>0</v>
      </c>
      <c r="W39" s="246">
        <f t="shared" si="20"/>
        <v>0</v>
      </c>
      <c r="X39" s="246" t="str">
        <f t="shared" si="21"/>
        <v>--</v>
      </c>
      <c r="Y39" s="246">
        <f t="shared" si="22"/>
        <v>0</v>
      </c>
      <c r="Z39" s="182">
        <f t="shared" si="22"/>
        <v>0</v>
      </c>
      <c r="AA39" s="256"/>
      <c r="AB39" s="256"/>
      <c r="AC39" s="256"/>
      <c r="AD39" s="256"/>
      <c r="AE39" s="256"/>
      <c r="AF39" s="256"/>
      <c r="AG39" s="256"/>
      <c r="AH39" s="256"/>
      <c r="AI39" s="256"/>
      <c r="AJ39" s="256"/>
      <c r="AK39" s="256"/>
      <c r="AL39" s="256"/>
      <c r="AM39" s="256"/>
      <c r="AN39" s="256"/>
      <c r="AO39" s="256"/>
      <c r="AP39" s="256"/>
      <c r="AQ39" s="256"/>
      <c r="AR39" s="256"/>
    </row>
    <row r="40" spans="1:44" s="183" customFormat="1" ht="12.75" customHeight="1" x14ac:dyDescent="0.2">
      <c r="A40" s="174"/>
      <c r="B40" s="242" t="s">
        <v>89</v>
      </c>
      <c r="C40" s="243"/>
      <c r="D40" s="244"/>
      <c r="E40" s="176">
        <v>0</v>
      </c>
      <c r="F40" s="245">
        <f t="shared" si="23"/>
        <v>0</v>
      </c>
      <c r="G40" s="176">
        <v>0</v>
      </c>
      <c r="H40" s="180">
        <v>0</v>
      </c>
      <c r="I40" s="184">
        <f>IFERROR(FACTORS!$C$38*E40,"--")</f>
        <v>0</v>
      </c>
      <c r="J40" s="181">
        <f>IFERROR(FACTORS!$D$38*E40,"--")</f>
        <v>0</v>
      </c>
      <c r="K40" s="246">
        <f>IFERROR(FACTORS!$E$38*E40,"--")</f>
        <v>0</v>
      </c>
      <c r="L40" s="178">
        <f>IFERROR(FACTORS!$F$38*E40,"--")</f>
        <v>0</v>
      </c>
      <c r="M40" s="178">
        <f>IFERROR(FACTORS!$G$38*E40,"--")</f>
        <v>0</v>
      </c>
      <c r="N40" s="178">
        <f>IFERROR(FACTORS!$H$38*E40,"--")</f>
        <v>0</v>
      </c>
      <c r="O40" s="181" t="str">
        <f>IFERROR(FACTORS!$I$38*E40,"--")</f>
        <v>--</v>
      </c>
      <c r="P40" s="181">
        <f>IFERROR(FACTORS!$J$38*E40,"--")</f>
        <v>0</v>
      </c>
      <c r="Q40" s="191">
        <f>IFERROR(FACTORS!$K$38*E40,"--")</f>
        <v>0</v>
      </c>
      <c r="R40" s="184">
        <f t="shared" si="19"/>
        <v>0</v>
      </c>
      <c r="S40" s="181">
        <f t="shared" si="19"/>
        <v>0</v>
      </c>
      <c r="T40" s="246">
        <f t="shared" si="20"/>
        <v>0</v>
      </c>
      <c r="U40" s="246">
        <f t="shared" si="20"/>
        <v>0</v>
      </c>
      <c r="V40" s="246">
        <f t="shared" si="20"/>
        <v>0</v>
      </c>
      <c r="W40" s="246">
        <f t="shared" si="20"/>
        <v>0</v>
      </c>
      <c r="X40" s="246" t="str">
        <f t="shared" si="21"/>
        <v>--</v>
      </c>
      <c r="Y40" s="246">
        <f t="shared" si="22"/>
        <v>0</v>
      </c>
      <c r="Z40" s="182">
        <f t="shared" si="22"/>
        <v>0</v>
      </c>
      <c r="AA40" s="256"/>
      <c r="AB40" s="256"/>
      <c r="AC40" s="256"/>
      <c r="AD40" s="256"/>
      <c r="AE40" s="256"/>
      <c r="AF40" s="256"/>
      <c r="AG40" s="256"/>
      <c r="AH40" s="256"/>
      <c r="AI40" s="256"/>
      <c r="AJ40" s="256"/>
      <c r="AK40" s="256"/>
      <c r="AL40" s="256"/>
      <c r="AM40" s="256"/>
      <c r="AN40" s="256"/>
      <c r="AO40" s="256"/>
      <c r="AP40" s="256"/>
      <c r="AQ40" s="256"/>
      <c r="AR40" s="256"/>
    </row>
    <row r="41" spans="1:44" s="183" customFormat="1" ht="12.75" customHeight="1" x14ac:dyDescent="0.2">
      <c r="A41" s="174"/>
      <c r="B41" s="242" t="s">
        <v>103</v>
      </c>
      <c r="C41" s="243"/>
      <c r="D41" s="244"/>
      <c r="E41" s="176">
        <v>0</v>
      </c>
      <c r="F41" s="245">
        <f t="shared" si="23"/>
        <v>0</v>
      </c>
      <c r="G41" s="176">
        <v>0</v>
      </c>
      <c r="H41" s="180">
        <v>0</v>
      </c>
      <c r="I41" s="184">
        <f>IFERROR(FACTORS!$C$39*E41,"--")</f>
        <v>0</v>
      </c>
      <c r="J41" s="181">
        <f>IFERROR(FACTORS!$D$39*E41,"--")</f>
        <v>0</v>
      </c>
      <c r="K41" s="246">
        <f>IFERROR(FACTORS!$E$39*E41,"--")</f>
        <v>0</v>
      </c>
      <c r="L41" s="178">
        <f>IFERROR(FACTORS!$F$39*E41,"--")</f>
        <v>0</v>
      </c>
      <c r="M41" s="178">
        <f>IFERROR(FACTORS!$G$39*E41,"--")</f>
        <v>0</v>
      </c>
      <c r="N41" s="178">
        <f>IFERROR(FACTORS!$H$39*E41,"--")</f>
        <v>0</v>
      </c>
      <c r="O41" s="181" t="str">
        <f>IFERROR(FACTORS!$I$39*E41,"--")</f>
        <v>--</v>
      </c>
      <c r="P41" s="181">
        <f>IFERROR(FACTORS!$J$39*E41,"--")</f>
        <v>0</v>
      </c>
      <c r="Q41" s="191">
        <f>IFERROR(FACTORS!$K$39*E41,"--")</f>
        <v>0</v>
      </c>
      <c r="R41" s="184">
        <f t="shared" si="19"/>
        <v>0</v>
      </c>
      <c r="S41" s="181">
        <f t="shared" si="19"/>
        <v>0</v>
      </c>
      <c r="T41" s="246">
        <f t="shared" si="20"/>
        <v>0</v>
      </c>
      <c r="U41" s="246">
        <f t="shared" si="20"/>
        <v>0</v>
      </c>
      <c r="V41" s="246">
        <f t="shared" si="20"/>
        <v>0</v>
      </c>
      <c r="W41" s="246">
        <f t="shared" si="20"/>
        <v>0</v>
      </c>
      <c r="X41" s="246" t="str">
        <f t="shared" si="21"/>
        <v>--</v>
      </c>
      <c r="Y41" s="246">
        <f t="shared" si="22"/>
        <v>0</v>
      </c>
      <c r="Z41" s="182">
        <f t="shared" si="22"/>
        <v>0</v>
      </c>
      <c r="AA41" s="256"/>
      <c r="AB41" s="256"/>
      <c r="AC41" s="256"/>
      <c r="AD41" s="256"/>
      <c r="AE41" s="256"/>
      <c r="AF41" s="256"/>
      <c r="AG41" s="256"/>
      <c r="AH41" s="256"/>
      <c r="AI41" s="256"/>
      <c r="AJ41" s="256"/>
      <c r="AK41" s="256"/>
      <c r="AL41" s="256"/>
      <c r="AM41" s="256"/>
      <c r="AN41" s="256"/>
      <c r="AO41" s="256"/>
      <c r="AP41" s="256"/>
      <c r="AQ41" s="256"/>
      <c r="AR41" s="256"/>
    </row>
    <row r="42" spans="1:44" s="183" customFormat="1" ht="12.75" customHeight="1" x14ac:dyDescent="0.2">
      <c r="A42" s="174"/>
      <c r="B42" s="242" t="s">
        <v>91</v>
      </c>
      <c r="C42" s="243"/>
      <c r="D42" s="176">
        <v>0</v>
      </c>
      <c r="E42" s="74"/>
      <c r="F42" s="74"/>
      <c r="G42" s="179">
        <v>0</v>
      </c>
      <c r="H42" s="180">
        <v>0</v>
      </c>
      <c r="I42" s="184">
        <f>(FACTORS!$C$40*D42*2000)/24</f>
        <v>0</v>
      </c>
      <c r="J42" s="181">
        <f>(FACTORS!$D$40*D42*2000)/24</f>
        <v>0</v>
      </c>
      <c r="K42" s="246">
        <f>(FACTORS!$E$40*D42*2000)/24</f>
        <v>0</v>
      </c>
      <c r="L42" s="178">
        <f>(FACTORS!$F$40*D42*2000)/24</f>
        <v>0</v>
      </c>
      <c r="M42" s="178">
        <f>(FACTORS!$G$40*D42*2000)/24</f>
        <v>0</v>
      </c>
      <c r="N42" s="178">
        <f>(FACTORS!$H$40*D42*2000)/24</f>
        <v>0</v>
      </c>
      <c r="O42" s="181" t="str">
        <f>IFERROR((FACTORS!$I$40*D42*2000)/24,"--")</f>
        <v>--</v>
      </c>
      <c r="P42" s="181">
        <f>IFERROR((FACTORS!$J$40*D42*2000)/24,"--")</f>
        <v>0</v>
      </c>
      <c r="Q42" s="191" t="str">
        <f>IFERROR((FACTORS!$K$40*D42*2000)/24,"--")</f>
        <v>--</v>
      </c>
      <c r="R42" s="184">
        <f t="shared" si="19"/>
        <v>0</v>
      </c>
      <c r="S42" s="181">
        <f t="shared" si="19"/>
        <v>0</v>
      </c>
      <c r="T42" s="246">
        <f t="shared" si="20"/>
        <v>0</v>
      </c>
      <c r="U42" s="246">
        <f t="shared" si="20"/>
        <v>0</v>
      </c>
      <c r="V42" s="246">
        <f t="shared" si="20"/>
        <v>0</v>
      </c>
      <c r="W42" s="246">
        <f t="shared" si="20"/>
        <v>0</v>
      </c>
      <c r="X42" s="246" t="str">
        <f t="shared" si="21"/>
        <v>--</v>
      </c>
      <c r="Y42" s="246">
        <f t="shared" si="22"/>
        <v>0</v>
      </c>
      <c r="Z42" s="182" t="str">
        <f t="shared" si="22"/>
        <v/>
      </c>
      <c r="AA42" s="256"/>
      <c r="AB42" s="256"/>
      <c r="AC42" s="256"/>
      <c r="AD42" s="256"/>
      <c r="AE42" s="256"/>
      <c r="AF42" s="256"/>
      <c r="AG42" s="256"/>
      <c r="AH42" s="256"/>
      <c r="AI42" s="256"/>
      <c r="AJ42" s="256"/>
      <c r="AK42" s="256"/>
      <c r="AL42" s="256"/>
      <c r="AM42" s="256"/>
      <c r="AN42" s="256"/>
      <c r="AO42" s="256"/>
      <c r="AP42" s="256"/>
      <c r="AQ42" s="256"/>
      <c r="AR42" s="256"/>
    </row>
    <row r="43" spans="1:44" s="183" customFormat="1" ht="12.75" customHeight="1" x14ac:dyDescent="0.2">
      <c r="A43" s="174"/>
      <c r="B43" s="274" t="s">
        <v>133</v>
      </c>
      <c r="C43" s="242"/>
      <c r="D43" s="185">
        <v>0</v>
      </c>
      <c r="E43" s="74"/>
      <c r="F43" s="74"/>
      <c r="G43" s="185">
        <v>0</v>
      </c>
      <c r="H43" s="186">
        <v>0</v>
      </c>
      <c r="I43" s="187">
        <f>FACTORS!$C$42*D43/453.592</f>
        <v>0</v>
      </c>
      <c r="J43" s="192">
        <f>FACTORS!$D$42*D43/453.592</f>
        <v>0</v>
      </c>
      <c r="K43" s="189">
        <f>FACTORS!$E$42*D43/453.592</f>
        <v>0</v>
      </c>
      <c r="L43" s="192">
        <f>FACTORS!$F$42*D43/453.592</f>
        <v>0</v>
      </c>
      <c r="M43" s="192">
        <f>FACTORS!$G$42*D43/453.592</f>
        <v>0</v>
      </c>
      <c r="N43" s="188">
        <f>FACTORS!$H$42*D43/453.592</f>
        <v>0</v>
      </c>
      <c r="O43" s="192">
        <f>IFERROR(FACTORS!$I$42*D43/453.592, "--")</f>
        <v>0</v>
      </c>
      <c r="P43" s="192">
        <f>FACTORS!$J$42*D43/453.592</f>
        <v>0</v>
      </c>
      <c r="Q43" s="193">
        <f>FACTORS!$K$42*D43/453.592</f>
        <v>0</v>
      </c>
      <c r="R43" s="187">
        <f>IFERROR((I43*$G43*$H43)/2000, "")</f>
        <v>0</v>
      </c>
      <c r="S43" s="192">
        <f>IFERROR((J43*$G43*$H43)/2000, "")</f>
        <v>0</v>
      </c>
      <c r="T43" s="189">
        <f>IFERROR((K43*$G43*$H43)/2000, "")</f>
        <v>0</v>
      </c>
      <c r="U43" s="189">
        <f t="shared" si="20"/>
        <v>0</v>
      </c>
      <c r="V43" s="189">
        <f t="shared" si="20"/>
        <v>0</v>
      </c>
      <c r="W43" s="189">
        <f t="shared" si="20"/>
        <v>0</v>
      </c>
      <c r="X43" s="189">
        <f t="shared" si="21"/>
        <v>0</v>
      </c>
      <c r="Y43" s="189">
        <f t="shared" si="22"/>
        <v>0</v>
      </c>
      <c r="Z43" s="190">
        <f t="shared" si="22"/>
        <v>0</v>
      </c>
      <c r="AA43" s="256"/>
      <c r="AB43" s="256"/>
      <c r="AC43" s="256"/>
      <c r="AD43" s="256"/>
      <c r="AE43" s="256"/>
      <c r="AF43" s="256"/>
      <c r="AG43" s="256"/>
      <c r="AH43" s="256"/>
      <c r="AI43" s="256"/>
      <c r="AJ43" s="256"/>
      <c r="AK43" s="256"/>
      <c r="AL43" s="256"/>
      <c r="AM43" s="256"/>
      <c r="AN43" s="256"/>
      <c r="AO43" s="256"/>
      <c r="AP43" s="256"/>
      <c r="AQ43" s="256"/>
      <c r="AR43" s="256"/>
    </row>
    <row r="44" spans="1:44" s="247" customFormat="1" ht="12.75" customHeight="1" x14ac:dyDescent="0.2">
      <c r="A44" s="286">
        <f>A23</f>
        <v>2022</v>
      </c>
      <c r="B44" s="287" t="s">
        <v>124</v>
      </c>
      <c r="C44" s="431"/>
      <c r="D44" s="281"/>
      <c r="E44" s="281"/>
      <c r="F44" s="282"/>
      <c r="G44" s="281"/>
      <c r="H44" s="283"/>
      <c r="I44" s="380">
        <f t="shared" ref="I44:Z44" si="24">SUM(I26:I43)</f>
        <v>0</v>
      </c>
      <c r="J44" s="428">
        <f t="shared" si="24"/>
        <v>0</v>
      </c>
      <c r="K44" s="429">
        <f t="shared" si="24"/>
        <v>0</v>
      </c>
      <c r="L44" s="284">
        <f t="shared" si="24"/>
        <v>0</v>
      </c>
      <c r="M44" s="284">
        <f t="shared" si="24"/>
        <v>0</v>
      </c>
      <c r="N44" s="284">
        <f t="shared" si="24"/>
        <v>0</v>
      </c>
      <c r="O44" s="284">
        <f t="shared" si="24"/>
        <v>0</v>
      </c>
      <c r="P44" s="284">
        <f t="shared" si="24"/>
        <v>0</v>
      </c>
      <c r="Q44" s="290">
        <f t="shared" si="24"/>
        <v>0</v>
      </c>
      <c r="R44" s="383">
        <f t="shared" si="24"/>
        <v>0</v>
      </c>
      <c r="S44" s="291">
        <f t="shared" si="24"/>
        <v>0</v>
      </c>
      <c r="T44" s="430">
        <f t="shared" si="24"/>
        <v>0</v>
      </c>
      <c r="U44" s="291">
        <f t="shared" si="24"/>
        <v>0</v>
      </c>
      <c r="V44" s="291">
        <f t="shared" si="24"/>
        <v>0</v>
      </c>
      <c r="W44" s="291">
        <f t="shared" si="24"/>
        <v>0</v>
      </c>
      <c r="X44" s="291">
        <f t="shared" si="24"/>
        <v>0</v>
      </c>
      <c r="Y44" s="291">
        <f t="shared" si="24"/>
        <v>0</v>
      </c>
      <c r="Z44" s="292">
        <f t="shared" si="24"/>
        <v>0</v>
      </c>
      <c r="AA44" s="256"/>
      <c r="AB44" s="256"/>
      <c r="AC44" s="256"/>
      <c r="AD44" s="256"/>
      <c r="AE44" s="256"/>
      <c r="AF44" s="256"/>
      <c r="AG44" s="256"/>
      <c r="AH44" s="256"/>
      <c r="AI44" s="256"/>
      <c r="AJ44" s="256"/>
      <c r="AK44" s="256"/>
      <c r="AL44" s="256"/>
      <c r="AM44" s="256"/>
      <c r="AN44" s="256"/>
      <c r="AO44" s="256"/>
      <c r="AP44" s="256"/>
      <c r="AQ44" s="256"/>
      <c r="AR44" s="256"/>
    </row>
    <row r="45" spans="1:44" ht="12.75" customHeight="1" x14ac:dyDescent="0.2">
      <c r="A45" s="77"/>
      <c r="B45" s="13"/>
      <c r="C45" s="13"/>
    </row>
    <row r="46" spans="1:44" ht="12.75" customHeight="1" x14ac:dyDescent="0.2">
      <c r="A46" s="77"/>
      <c r="B46" s="13"/>
      <c r="C46" s="13"/>
    </row>
    <row r="47" spans="1:44" ht="12.75" customHeight="1" x14ac:dyDescent="0.2">
      <c r="A47" s="77"/>
      <c r="B47" s="13"/>
      <c r="C47" s="13"/>
    </row>
    <row r="48" spans="1:44" ht="12.75" customHeight="1" x14ac:dyDescent="0.2">
      <c r="A48" s="2"/>
      <c r="B48" s="2"/>
      <c r="C48" s="2"/>
      <c r="D48" s="2"/>
      <c r="E48" s="2"/>
      <c r="F48" s="2"/>
      <c r="G48" s="2"/>
      <c r="H48" s="2"/>
      <c r="I48" s="2"/>
      <c r="J48" s="2"/>
      <c r="K48" s="2"/>
      <c r="L48" s="2"/>
      <c r="M48" s="2"/>
      <c r="N48" s="2"/>
      <c r="O48" s="2"/>
      <c r="P48" s="2"/>
      <c r="Q48" s="2"/>
      <c r="R48" s="2"/>
      <c r="S48" s="2"/>
      <c r="T48" s="2"/>
      <c r="U48" s="2"/>
      <c r="V48" s="2"/>
      <c r="W48" s="2"/>
      <c r="X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0"/>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16"/>
      <c r="Z52" s="20"/>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16"/>
      <c r="Z53" s="20"/>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16"/>
      <c r="Z54" s="19"/>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17"/>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13"/>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13"/>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13"/>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13"/>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13"/>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13"/>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13"/>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13"/>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13"/>
    </row>
    <row r="65" spans="1:25"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13"/>
    </row>
    <row r="66" spans="1:25"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13"/>
    </row>
    <row r="67" spans="1:25"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13"/>
    </row>
    <row r="68" spans="1:25"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13"/>
    </row>
    <row r="69" spans="1:25"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13"/>
    </row>
    <row r="70" spans="1:25"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13"/>
    </row>
    <row r="71" spans="1:25"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13"/>
    </row>
    <row r="72" spans="1:25"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18"/>
    </row>
    <row r="73" spans="1:25"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18"/>
    </row>
    <row r="74" spans="1:25"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18"/>
    </row>
    <row r="75" spans="1:25"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18"/>
    </row>
    <row r="76" spans="1:25"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13"/>
    </row>
    <row r="77" spans="1:25"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13"/>
    </row>
    <row r="78" spans="1:25"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13"/>
    </row>
    <row r="79" spans="1:25"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13"/>
    </row>
    <row r="80" spans="1:25"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13"/>
    </row>
    <row r="81" spans="1:25"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3"/>
    </row>
    <row r="82" spans="1:25"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row>
    <row r="83" spans="1:25"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row>
    <row r="84" spans="1:25"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row>
    <row r="85" spans="1:25"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row>
    <row r="86" spans="1:25"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row>
    <row r="87" spans="1:25"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row>
    <row r="88" spans="1:25"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row>
    <row r="89" spans="1:25"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row>
    <row r="90" spans="1:25"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row>
    <row r="91" spans="1:25"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row>
    <row r="92" spans="1:25"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row>
    <row r="93" spans="1:25"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row>
    <row r="94" spans="1:25"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row>
    <row r="95" spans="1:25"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row>
    <row r="96" spans="1:25"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18"/>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13"/>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13"/>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13"/>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13"/>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13"/>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13"/>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13"/>
    </row>
    <row r="128" spans="1:25" ht="12.75" customHeight="1" x14ac:dyDescent="0.2">
      <c r="Y128" s="13"/>
    </row>
    <row r="129" spans="25:26" ht="12.75" customHeight="1" x14ac:dyDescent="0.2">
      <c r="Y129" s="18"/>
      <c r="Z129" s="19"/>
    </row>
    <row r="130" spans="25:26" ht="12.75" customHeight="1" x14ac:dyDescent="0.2">
      <c r="Y130" s="21"/>
    </row>
    <row r="131" spans="25:26" ht="12.75" customHeight="1" x14ac:dyDescent="0.2">
      <c r="Y131" s="18"/>
    </row>
    <row r="132" spans="25:26" ht="12.75" customHeight="1" x14ac:dyDescent="0.2">
      <c r="Y132" s="13"/>
      <c r="Z132" s="19"/>
    </row>
    <row r="133" spans="25:26" ht="12.75" customHeight="1" x14ac:dyDescent="0.2">
      <c r="Y133" s="22"/>
    </row>
    <row r="141" spans="25:26" ht="12.75" customHeight="1" x14ac:dyDescent="0.2">
      <c r="Z141" s="20"/>
    </row>
    <row r="142" spans="25:26" ht="12.75" customHeight="1" x14ac:dyDescent="0.2">
      <c r="Y142" s="16"/>
      <c r="Z142" s="20"/>
    </row>
    <row r="143" spans="25:26" ht="12.75" customHeight="1" x14ac:dyDescent="0.2">
      <c r="Y143" s="16"/>
      <c r="Z143" s="20"/>
    </row>
    <row r="144" spans="25:26" ht="12.75" customHeight="1" x14ac:dyDescent="0.2">
      <c r="Y144" s="16"/>
      <c r="Z144" s="19"/>
    </row>
    <row r="145" spans="25:25" ht="12.75" customHeight="1" x14ac:dyDescent="0.2">
      <c r="Y145" s="17"/>
    </row>
    <row r="146" spans="25:25" ht="12.75" customHeight="1" x14ac:dyDescent="0.2">
      <c r="Y146" s="13"/>
    </row>
    <row r="147" spans="25:25" ht="12.75" customHeight="1" x14ac:dyDescent="0.2">
      <c r="Y147" s="13"/>
    </row>
    <row r="148" spans="25:25" ht="12.75" customHeight="1" x14ac:dyDescent="0.2">
      <c r="Y148" s="13"/>
    </row>
    <row r="149" spans="25:25" ht="12.75" customHeight="1" x14ac:dyDescent="0.2">
      <c r="Y149" s="13"/>
    </row>
    <row r="150" spans="25:25" ht="12.75" customHeight="1" x14ac:dyDescent="0.2">
      <c r="Y150" s="13"/>
    </row>
    <row r="151" spans="25:25" ht="12.75" customHeight="1" x14ac:dyDescent="0.2">
      <c r="Y151" s="13"/>
    </row>
    <row r="152" spans="25:25" ht="12.75" customHeight="1" x14ac:dyDescent="0.2">
      <c r="Y152" s="13"/>
    </row>
    <row r="153" spans="25:25" ht="12.75" customHeight="1" x14ac:dyDescent="0.2">
      <c r="Y153" s="13"/>
    </row>
    <row r="154" spans="25:25" ht="12.75" customHeight="1" x14ac:dyDescent="0.2">
      <c r="Y154" s="13"/>
    </row>
    <row r="155" spans="25:25" ht="12.75" customHeight="1" x14ac:dyDescent="0.2">
      <c r="Y155" s="13"/>
    </row>
    <row r="156" spans="25:25" ht="12.75" customHeight="1" x14ac:dyDescent="0.2">
      <c r="Y156" s="13"/>
    </row>
    <row r="157" spans="25:25" ht="12.75" customHeight="1" x14ac:dyDescent="0.2">
      <c r="Y157" s="13"/>
    </row>
    <row r="158" spans="25:25" ht="12.75" customHeight="1" x14ac:dyDescent="0.2">
      <c r="Y158" s="13"/>
    </row>
    <row r="159" spans="25:25" ht="12.75" customHeight="1" x14ac:dyDescent="0.2">
      <c r="Y159" s="13"/>
    </row>
    <row r="160" spans="25:25" ht="12.75" customHeight="1" x14ac:dyDescent="0.2">
      <c r="Y160" s="13"/>
    </row>
    <row r="161" spans="25:26" ht="12.75" customHeight="1" x14ac:dyDescent="0.2">
      <c r="Y161" s="13"/>
    </row>
    <row r="162" spans="25:26" ht="12.75" customHeight="1" x14ac:dyDescent="0.2">
      <c r="Y162" s="18"/>
    </row>
    <row r="163" spans="25:26" ht="12.75" customHeight="1" x14ac:dyDescent="0.2">
      <c r="Y163" s="18"/>
    </row>
    <row r="164" spans="25:26" ht="12.75" customHeight="1" x14ac:dyDescent="0.2">
      <c r="Y164" s="18"/>
    </row>
    <row r="165" spans="25:26" ht="12.75" customHeight="1" x14ac:dyDescent="0.2">
      <c r="Y165" s="18"/>
    </row>
    <row r="166" spans="25:26" ht="12.75" customHeight="1" x14ac:dyDescent="0.2">
      <c r="Y166" s="13"/>
    </row>
    <row r="167" spans="25:26" ht="12.75" customHeight="1" x14ac:dyDescent="0.2">
      <c r="Y167" s="13"/>
    </row>
    <row r="168" spans="25:26" ht="12.75" customHeight="1" x14ac:dyDescent="0.2">
      <c r="Y168" s="13"/>
    </row>
    <row r="169" spans="25:26" ht="12.75" customHeight="1" x14ac:dyDescent="0.2">
      <c r="Y169" s="13"/>
    </row>
    <row r="170" spans="25:26" ht="12.75" customHeight="1" x14ac:dyDescent="0.2">
      <c r="Y170" s="13"/>
    </row>
    <row r="171" spans="25:26" ht="12.75" customHeight="1" x14ac:dyDescent="0.2">
      <c r="Y171" s="13"/>
    </row>
    <row r="172" spans="25:26" ht="12.75" customHeight="1" x14ac:dyDescent="0.2">
      <c r="Y172" s="13"/>
    </row>
    <row r="173" spans="25:26" ht="12.75" customHeight="1" x14ac:dyDescent="0.2">
      <c r="Y173" s="13"/>
    </row>
    <row r="174" spans="25:26" ht="12.75" customHeight="1" x14ac:dyDescent="0.2">
      <c r="Y174" s="18"/>
      <c r="Z174" s="19"/>
    </row>
    <row r="175" spans="25:26" ht="12.75" customHeight="1" x14ac:dyDescent="0.2">
      <c r="Y175" s="21"/>
    </row>
    <row r="176" spans="25:26" ht="12.75" customHeight="1" x14ac:dyDescent="0.2">
      <c r="Y176" s="18"/>
    </row>
    <row r="177" spans="25:26" ht="12.75" customHeight="1" x14ac:dyDescent="0.2">
      <c r="Y177" s="13"/>
      <c r="Z177" s="19"/>
    </row>
    <row r="178" spans="25:26" ht="12.75" customHeight="1" x14ac:dyDescent="0.2">
      <c r="Y178"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- 3RD YEAR</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2F7DF-12FC-4312-B691-5A63510416BC}">
  <sheetPr codeName="Sheet7">
    <pageSetUpPr fitToPage="1"/>
  </sheetPr>
  <dimension ref="A1:AR178"/>
  <sheetViews>
    <sheetView view="pageLayout" topLeftCell="A2" zoomScale="70" zoomScaleNormal="100" zoomScalePageLayoutView="70" workbookViewId="0">
      <selection activeCell="D15" sqref="D15"/>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56"/>
    <col min="45" max="16384" width="9.7109375" style="2"/>
  </cols>
  <sheetData>
    <row r="1" spans="1:44" ht="12.75" customHeight="1" thickBot="1" x14ac:dyDescent="0.25">
      <c r="A1" s="23" t="s">
        <v>1</v>
      </c>
      <c r="B1" s="23" t="s">
        <v>2</v>
      </c>
      <c r="C1" s="23"/>
      <c r="D1" s="23" t="s">
        <v>3</v>
      </c>
      <c r="E1" s="23" t="s">
        <v>5</v>
      </c>
      <c r="F1" s="24" t="s">
        <v>63</v>
      </c>
      <c r="G1" s="23" t="s">
        <v>7</v>
      </c>
      <c r="H1" s="25"/>
      <c r="I1" s="26"/>
      <c r="J1" s="26"/>
      <c r="K1" s="26"/>
      <c r="L1" s="27" t="s">
        <v>81</v>
      </c>
      <c r="M1" s="28" t="s">
        <v>0</v>
      </c>
      <c r="N1" s="26" t="s">
        <v>42</v>
      </c>
      <c r="O1" s="29"/>
      <c r="P1" s="29" t="s">
        <v>11</v>
      </c>
      <c r="Q1" s="29"/>
      <c r="R1" s="30"/>
      <c r="S1" s="30"/>
      <c r="T1" s="30"/>
      <c r="U1" s="30"/>
      <c r="V1" s="30"/>
      <c r="W1" s="30"/>
      <c r="X1" s="30"/>
      <c r="Y1" s="30"/>
      <c r="Z1" s="101"/>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373"/>
      <c r="K2" s="373"/>
      <c r="L2" s="473" t="str">
        <f>TITLE!$C$7</f>
        <v xml:space="preserve">  </v>
      </c>
      <c r="M2" s="476"/>
      <c r="N2" s="473" t="str">
        <f>TITLE!$C$8</f>
        <v xml:space="preserve"> </v>
      </c>
      <c r="O2" s="476"/>
      <c r="P2" s="473" t="str">
        <f>TITLE!C9</f>
        <v xml:space="preserve"> </v>
      </c>
      <c r="Q2" s="474"/>
      <c r="R2" s="474"/>
      <c r="S2" s="474"/>
      <c r="T2" s="474"/>
      <c r="U2" s="474"/>
      <c r="V2" s="474"/>
      <c r="W2" s="474"/>
      <c r="X2" s="474"/>
      <c r="Y2" s="474"/>
      <c r="Z2" s="475"/>
    </row>
    <row r="3" spans="1:44" ht="12.75" customHeight="1" thickTop="1" x14ac:dyDescent="0.2">
      <c r="A3" s="33" t="s">
        <v>43</v>
      </c>
      <c r="B3" s="34" t="s">
        <v>44</v>
      </c>
      <c r="C3" s="34" t="s">
        <v>101</v>
      </c>
      <c r="D3" s="34" t="s">
        <v>45</v>
      </c>
      <c r="E3" s="34" t="s">
        <v>46</v>
      </c>
      <c r="F3" s="35" t="s">
        <v>47</v>
      </c>
      <c r="G3" s="36" t="s">
        <v>48</v>
      </c>
      <c r="H3" s="37"/>
      <c r="I3" s="38"/>
      <c r="J3" s="38"/>
      <c r="K3" s="38"/>
      <c r="L3" s="38"/>
      <c r="M3" s="38" t="s">
        <v>49</v>
      </c>
      <c r="N3" s="38"/>
      <c r="O3" s="38"/>
      <c r="P3" s="38"/>
      <c r="Q3" s="39"/>
      <c r="R3" s="40"/>
      <c r="S3" s="40"/>
      <c r="T3" s="40"/>
      <c r="U3" s="40"/>
      <c r="V3" s="38" t="s">
        <v>50</v>
      </c>
      <c r="W3" s="40"/>
      <c r="X3" s="40"/>
      <c r="Y3" s="40"/>
      <c r="Z3" s="100"/>
    </row>
    <row r="4" spans="1:44" ht="12.75" customHeight="1" x14ac:dyDescent="0.2">
      <c r="A4" s="41"/>
      <c r="B4" s="42" t="s">
        <v>51</v>
      </c>
      <c r="C4" s="42"/>
      <c r="D4" s="42" t="s">
        <v>52</v>
      </c>
      <c r="E4" s="42" t="s">
        <v>53</v>
      </c>
      <c r="F4" s="43" t="s">
        <v>54</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77" t="s">
        <v>55</v>
      </c>
      <c r="C5" s="277"/>
      <c r="D5" s="50" t="s">
        <v>52</v>
      </c>
      <c r="E5" s="50" t="s">
        <v>56</v>
      </c>
      <c r="F5" s="51" t="s">
        <v>57</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78" t="s">
        <v>58</v>
      </c>
      <c r="C6" s="278"/>
      <c r="D6" s="168" t="s">
        <v>59</v>
      </c>
      <c r="E6" s="42" t="s">
        <v>56</v>
      </c>
      <c r="F6" s="43" t="s">
        <v>57</v>
      </c>
      <c r="G6" s="169" t="s">
        <v>60</v>
      </c>
      <c r="H6" s="170" t="s">
        <v>71</v>
      </c>
      <c r="I6" s="396" t="s">
        <v>199</v>
      </c>
      <c r="J6" s="397" t="s">
        <v>197</v>
      </c>
      <c r="K6" s="398" t="s">
        <v>198</v>
      </c>
      <c r="L6" s="399" t="s">
        <v>23</v>
      </c>
      <c r="M6" s="399" t="s">
        <v>24</v>
      </c>
      <c r="N6" s="399" t="s">
        <v>25</v>
      </c>
      <c r="O6" s="397" t="s">
        <v>72</v>
      </c>
      <c r="P6" s="397" t="s">
        <v>26</v>
      </c>
      <c r="Q6" s="400" t="s">
        <v>80</v>
      </c>
      <c r="R6" s="401" t="s">
        <v>199</v>
      </c>
      <c r="S6" s="402" t="s">
        <v>197</v>
      </c>
      <c r="T6" s="403" t="s">
        <v>198</v>
      </c>
      <c r="U6" s="403" t="s">
        <v>23</v>
      </c>
      <c r="V6" s="171" t="s">
        <v>24</v>
      </c>
      <c r="W6" s="171" t="s">
        <v>25</v>
      </c>
      <c r="X6" s="46" t="s">
        <v>72</v>
      </c>
      <c r="Y6" s="46" t="s">
        <v>26</v>
      </c>
      <c r="Z6" s="172" t="s">
        <v>80</v>
      </c>
    </row>
    <row r="7" spans="1:44" s="173" customFormat="1" ht="12.75" customHeight="1" thickTop="1" x14ac:dyDescent="0.2">
      <c r="A7" s="194" t="s">
        <v>61</v>
      </c>
      <c r="B7" s="279" t="s">
        <v>165</v>
      </c>
      <c r="C7" s="293"/>
      <c r="D7" s="195">
        <v>0</v>
      </c>
      <c r="E7" s="196">
        <f>FACTORS!$I$2*D7</f>
        <v>0</v>
      </c>
      <c r="F7" s="197">
        <f>E7*24</f>
        <v>0</v>
      </c>
      <c r="G7" s="198">
        <v>0</v>
      </c>
      <c r="H7" s="199">
        <v>0</v>
      </c>
      <c r="I7" s="377">
        <f>FACTORS!$C$17*D7/453.592</f>
        <v>0</v>
      </c>
      <c r="J7" s="404">
        <f>FACTORS!$D$17*D7/453.592</f>
        <v>0</v>
      </c>
      <c r="K7" s="405">
        <f>FACTORS!$E$17*D7/453.592</f>
        <v>0</v>
      </c>
      <c r="L7" s="202">
        <f>FACTORS!$F$17*D7/453.592</f>
        <v>0</v>
      </c>
      <c r="M7" s="202">
        <f>FACTORS!$G$17*D7/453.592</f>
        <v>0</v>
      </c>
      <c r="N7" s="201">
        <f>FACTORS!$H$17*D7/453.592</f>
        <v>0</v>
      </c>
      <c r="O7" s="203">
        <f>FACTORS!$I$17*D7/453.592</f>
        <v>0</v>
      </c>
      <c r="P7" s="203">
        <f>FACTORS!$J$17*D7/453.592</f>
        <v>0</v>
      </c>
      <c r="Q7" s="204">
        <f>IFERROR(FACTORS!$K$17*D7/453.592,"--")</f>
        <v>0</v>
      </c>
      <c r="R7" s="381">
        <f>IF(I7=0,0,I7*($F7/($E7*24))*$G7*$H7/2000)</f>
        <v>0</v>
      </c>
      <c r="S7" s="203">
        <f t="shared" ref="S7:T10" si="0">IF(J7=0,0,J7*($F7/($E7*24))*$G7*$H7/2000)</f>
        <v>0</v>
      </c>
      <c r="T7" s="203">
        <f>IF(K7=0,0,K7*($F7/($E7*24))*$G7*$H7/2000)</f>
        <v>0</v>
      </c>
      <c r="U7" s="203">
        <f t="shared" ref="U7:W10" si="1">IF(L7=0,0,L7*($F7/($E7*24))*$G7*$H7/2000)</f>
        <v>0</v>
      </c>
      <c r="V7" s="203">
        <f t="shared" si="1"/>
        <v>0</v>
      </c>
      <c r="W7" s="203">
        <f t="shared" si="1"/>
        <v>0</v>
      </c>
      <c r="X7" s="203">
        <f>IFERROR(IF(O7=0,0,O7*($F7/($E7*24))*$G7*$H7/2000),"--")</f>
        <v>0</v>
      </c>
      <c r="Y7" s="203">
        <f>IF(P7=0,0,P7*($F7/($E7*24))*$G7*$H7/2000)</f>
        <v>0</v>
      </c>
      <c r="Z7" s="205">
        <f>IFERROR(IF(Q7=0,0,Q7*($F7/($E7*24))*$G7*$H7/2000),"--")</f>
        <v>0</v>
      </c>
      <c r="AA7" s="262"/>
      <c r="AB7" s="262"/>
      <c r="AC7" s="262"/>
      <c r="AD7" s="262"/>
      <c r="AE7" s="262"/>
      <c r="AF7" s="262"/>
      <c r="AG7" s="262"/>
      <c r="AH7" s="262"/>
      <c r="AI7" s="262"/>
      <c r="AJ7" s="262"/>
      <c r="AK7" s="262"/>
      <c r="AL7" s="262"/>
      <c r="AM7" s="262"/>
      <c r="AN7" s="262"/>
      <c r="AO7" s="262"/>
      <c r="AP7" s="262"/>
      <c r="AQ7" s="262"/>
      <c r="AR7" s="262"/>
    </row>
    <row r="8" spans="1:44" s="183" customFormat="1" ht="12.75" customHeight="1" x14ac:dyDescent="0.2">
      <c r="A8" s="206"/>
      <c r="B8" s="238" t="s">
        <v>165</v>
      </c>
      <c r="C8" s="294"/>
      <c r="D8" s="208">
        <v>0</v>
      </c>
      <c r="E8" s="209">
        <f>FACTORS!$I$2*D8</f>
        <v>0</v>
      </c>
      <c r="F8" s="201">
        <f>E8*24</f>
        <v>0</v>
      </c>
      <c r="G8" s="210">
        <v>0</v>
      </c>
      <c r="H8" s="211">
        <v>0</v>
      </c>
      <c r="I8" s="222">
        <f>FACTORS!$C$17*D8/453.592</f>
        <v>0</v>
      </c>
      <c r="J8" s="404">
        <f>FACTORS!$D$17*D8/453.592</f>
        <v>0</v>
      </c>
      <c r="K8" s="405">
        <f>FACTORS!$E$17*D8/453.592</f>
        <v>0</v>
      </c>
      <c r="L8" s="202">
        <f>FACTORS!$F$17*D8/453.592</f>
        <v>0</v>
      </c>
      <c r="M8" s="202">
        <f>FACTORS!$G$17*D8/453.592</f>
        <v>0</v>
      </c>
      <c r="N8" s="201">
        <f>FACTORS!$H$17*D8/453.592</f>
        <v>0</v>
      </c>
      <c r="O8" s="202">
        <f>FACTORS!$I$17*D8/453.592</f>
        <v>0</v>
      </c>
      <c r="P8" s="202">
        <f>FACTORS!$J$17*D8/453.592</f>
        <v>0</v>
      </c>
      <c r="Q8" s="204">
        <f>IFERROR(FACTORS!$K$17*D8/453.592,"--")</f>
        <v>0</v>
      </c>
      <c r="R8" s="200">
        <f>IF(I8=0,0,I8*($F8/($E8*24))*$G8*$H8/2000)</f>
        <v>0</v>
      </c>
      <c r="S8" s="202">
        <f t="shared" si="0"/>
        <v>0</v>
      </c>
      <c r="T8" s="202">
        <f t="shared" si="0"/>
        <v>0</v>
      </c>
      <c r="U8" s="202">
        <f t="shared" si="1"/>
        <v>0</v>
      </c>
      <c r="V8" s="202">
        <f t="shared" si="1"/>
        <v>0</v>
      </c>
      <c r="W8" s="202">
        <f t="shared" si="1"/>
        <v>0</v>
      </c>
      <c r="X8" s="202">
        <f>IFERROR(IF(O8=0,0,O8*($F8/($E8*24))*$G8*$H8/2000),"--")</f>
        <v>0</v>
      </c>
      <c r="Y8" s="202">
        <f>IF(P8=0,0,P8*($F8/($E8*24))*$G8*$H8/2000)</f>
        <v>0</v>
      </c>
      <c r="Z8" s="213">
        <f>IFERROR(IF(Q8=0,0,Q8*($F8/($E8*24))*$G8*$H8/2000),"--")</f>
        <v>0</v>
      </c>
      <c r="AA8" s="256"/>
      <c r="AB8" s="256"/>
      <c r="AC8" s="256"/>
      <c r="AD8" s="256"/>
      <c r="AE8" s="256"/>
      <c r="AF8" s="256"/>
      <c r="AG8" s="256"/>
      <c r="AH8" s="256"/>
      <c r="AI8" s="256"/>
      <c r="AJ8" s="256"/>
      <c r="AK8" s="256"/>
      <c r="AL8" s="256"/>
      <c r="AM8" s="256"/>
      <c r="AN8" s="256"/>
      <c r="AO8" s="256"/>
      <c r="AP8" s="256"/>
      <c r="AQ8" s="256"/>
      <c r="AR8" s="256"/>
    </row>
    <row r="9" spans="1:44" s="183" customFormat="1" ht="12.75" customHeight="1" x14ac:dyDescent="0.2">
      <c r="A9" s="206"/>
      <c r="B9" s="238" t="s">
        <v>165</v>
      </c>
      <c r="C9" s="294"/>
      <c r="D9" s="208">
        <v>0</v>
      </c>
      <c r="E9" s="209">
        <f>FACTORS!$I$2*D9</f>
        <v>0</v>
      </c>
      <c r="F9" s="201">
        <f>E9*24</f>
        <v>0</v>
      </c>
      <c r="G9" s="210">
        <v>0</v>
      </c>
      <c r="H9" s="211">
        <v>0</v>
      </c>
      <c r="I9" s="222">
        <f>FACTORS!$C$17*D9/453.592</f>
        <v>0</v>
      </c>
      <c r="J9" s="404">
        <f>FACTORS!$D$17*D9/453.592</f>
        <v>0</v>
      </c>
      <c r="K9" s="405">
        <f>FACTORS!$E$17*D9/453.592</f>
        <v>0</v>
      </c>
      <c r="L9" s="202">
        <f>FACTORS!$F$17*D9/453.592</f>
        <v>0</v>
      </c>
      <c r="M9" s="202">
        <f>FACTORS!$G$17*D9/453.592</f>
        <v>0</v>
      </c>
      <c r="N9" s="201">
        <f>FACTORS!$H$17*D9/453.592</f>
        <v>0</v>
      </c>
      <c r="O9" s="202">
        <f>FACTORS!$I$17*D9/453.592</f>
        <v>0</v>
      </c>
      <c r="P9" s="202">
        <f>FACTORS!$J$17*D9/453.592</f>
        <v>0</v>
      </c>
      <c r="Q9" s="204">
        <f>IFERROR(FACTORS!$K$17*D9/453.592,"--")</f>
        <v>0</v>
      </c>
      <c r="R9" s="200">
        <f>IF(I9=0,0,I9*($F9/($E9*24))*$G9*$H9/2000)</f>
        <v>0</v>
      </c>
      <c r="S9" s="202">
        <f t="shared" si="0"/>
        <v>0</v>
      </c>
      <c r="T9" s="202">
        <f t="shared" si="0"/>
        <v>0</v>
      </c>
      <c r="U9" s="202">
        <f t="shared" si="1"/>
        <v>0</v>
      </c>
      <c r="V9" s="202">
        <f t="shared" si="1"/>
        <v>0</v>
      </c>
      <c r="W9" s="202">
        <f t="shared" si="1"/>
        <v>0</v>
      </c>
      <c r="X9" s="202">
        <f>IFERROR(IF(O9=0,0,O9*($F9/($E9*24))*$G9*$H9/2000),"--")</f>
        <v>0</v>
      </c>
      <c r="Y9" s="202">
        <f>IF(P9=0,0,P9*($F9/($E9*24))*$G9*$H9/2000)</f>
        <v>0</v>
      </c>
      <c r="Z9" s="213">
        <f>IFERROR(IF(Q9=0,0,Q9*($F9/($E9*24))*$G9*$H9/2000),"--")</f>
        <v>0</v>
      </c>
      <c r="AA9" s="256"/>
      <c r="AB9" s="256"/>
      <c r="AC9" s="256"/>
      <c r="AD9" s="256"/>
      <c r="AE9" s="256"/>
      <c r="AF9" s="256"/>
      <c r="AG9" s="256"/>
      <c r="AH9" s="256"/>
      <c r="AI9" s="256"/>
      <c r="AJ9" s="256"/>
      <c r="AK9" s="256"/>
      <c r="AL9" s="256"/>
      <c r="AM9" s="256"/>
      <c r="AN9" s="256"/>
      <c r="AO9" s="256"/>
      <c r="AP9" s="256"/>
      <c r="AQ9" s="256"/>
      <c r="AR9" s="256"/>
    </row>
    <row r="10" spans="1:44" s="183" customFormat="1" ht="12.75" customHeight="1" x14ac:dyDescent="0.2">
      <c r="A10" s="206"/>
      <c r="B10" s="238" t="s">
        <v>165</v>
      </c>
      <c r="C10" s="294"/>
      <c r="D10" s="208">
        <v>0</v>
      </c>
      <c r="E10" s="209">
        <f>FACTORS!$I$2*D10</f>
        <v>0</v>
      </c>
      <c r="F10" s="201">
        <f>E10*24</f>
        <v>0</v>
      </c>
      <c r="G10" s="210">
        <v>0</v>
      </c>
      <c r="H10" s="211">
        <v>0</v>
      </c>
      <c r="I10" s="222">
        <f>FACTORS!$C$17*D10/453.592</f>
        <v>0</v>
      </c>
      <c r="J10" s="404">
        <f>FACTORS!$D$17*D10/453.592</f>
        <v>0</v>
      </c>
      <c r="K10" s="405">
        <f>FACTORS!$E$17*D10/453.592</f>
        <v>0</v>
      </c>
      <c r="L10" s="202">
        <f>FACTORS!$F$17*D10/453.592</f>
        <v>0</v>
      </c>
      <c r="M10" s="202">
        <f>FACTORS!$G$17*D10/453.592</f>
        <v>0</v>
      </c>
      <c r="N10" s="201">
        <f>FACTORS!$H$17*D10/453.592</f>
        <v>0</v>
      </c>
      <c r="O10" s="202">
        <f>FACTORS!$I$17*D10/453.592</f>
        <v>0</v>
      </c>
      <c r="P10" s="202">
        <f>FACTORS!$J$17*D10/453.592</f>
        <v>0</v>
      </c>
      <c r="Q10" s="204">
        <f>IFERROR(FACTORS!$K$17*D10/453.592,"--")</f>
        <v>0</v>
      </c>
      <c r="R10" s="200">
        <f>IF(I10=0,0,I10*($F10/($E10*24))*$G10*$H10/2000)</f>
        <v>0</v>
      </c>
      <c r="S10" s="202">
        <f>IF(J10=0,0,J10*($F10/($E10*24))*$G10*$H10/2000)</f>
        <v>0</v>
      </c>
      <c r="T10" s="202">
        <f t="shared" si="0"/>
        <v>0</v>
      </c>
      <c r="U10" s="202">
        <f t="shared" si="1"/>
        <v>0</v>
      </c>
      <c r="V10" s="202">
        <f t="shared" si="1"/>
        <v>0</v>
      </c>
      <c r="W10" s="202">
        <f t="shared" si="1"/>
        <v>0</v>
      </c>
      <c r="X10" s="202">
        <f>IFERROR(IF(O10=0,0,O10*($F10/($E10*24))*$G10*$H10/2000),"--")</f>
        <v>0</v>
      </c>
      <c r="Y10" s="202">
        <f>IF(P10=0,0,P10*($F10/($E10*24))*$G10*$H10/2000)</f>
        <v>0</v>
      </c>
      <c r="Z10" s="213">
        <f>IFERROR(IF(Q10=0,0,Q10*($F10/($E10*24))*$G10*$H10/2000),"--")</f>
        <v>0</v>
      </c>
      <c r="AA10" s="256"/>
      <c r="AB10" s="256"/>
      <c r="AC10" s="256"/>
      <c r="AD10" s="256"/>
      <c r="AE10" s="256"/>
      <c r="AF10" s="256"/>
      <c r="AG10" s="256"/>
      <c r="AH10" s="256"/>
      <c r="AI10" s="256"/>
      <c r="AJ10" s="256"/>
      <c r="AK10" s="256"/>
      <c r="AL10" s="256"/>
      <c r="AM10" s="256"/>
      <c r="AN10" s="256"/>
      <c r="AO10" s="256"/>
      <c r="AP10" s="256"/>
      <c r="AQ10" s="256"/>
      <c r="AR10" s="256"/>
    </row>
    <row r="11" spans="1:44" s="183" customFormat="1" x14ac:dyDescent="0.2">
      <c r="A11" s="206"/>
      <c r="B11" s="207" t="s">
        <v>194</v>
      </c>
      <c r="C11" s="207"/>
      <c r="D11" s="208">
        <v>0</v>
      </c>
      <c r="E11" s="214"/>
      <c r="F11" s="215"/>
      <c r="G11" s="208">
        <v>0</v>
      </c>
      <c r="H11" s="211">
        <v>0</v>
      </c>
      <c r="I11" s="222">
        <f>FACTORS!$C$19*D11/453.592</f>
        <v>0</v>
      </c>
      <c r="J11" s="404">
        <f>FACTORS!$D$19*D11/453.592</f>
        <v>0</v>
      </c>
      <c r="K11" s="405">
        <f>FACTORS!$E$19*D11/453.592</f>
        <v>0</v>
      </c>
      <c r="L11" s="202">
        <f>FACTORS!$F$19*D11/453.592</f>
        <v>0</v>
      </c>
      <c r="M11" s="202">
        <f>FACTORS!$G$19*D11/453.592</f>
        <v>0</v>
      </c>
      <c r="N11" s="201">
        <f>FACTORS!$H$19*D11/453.592</f>
        <v>0</v>
      </c>
      <c r="O11" s="202">
        <f>FACTORS!$I$19*D11/453.592</f>
        <v>0</v>
      </c>
      <c r="P11" s="202">
        <f>FACTORS!$J$19*D11/453.592</f>
        <v>0</v>
      </c>
      <c r="Q11" s="204">
        <f>FACTORS!$K$19*D11/453.592</f>
        <v>0</v>
      </c>
      <c r="R11" s="200">
        <f>I11*$G11*$H11/2000</f>
        <v>0</v>
      </c>
      <c r="S11" s="408">
        <f>J11*$G11*$H11/2000</f>
        <v>0</v>
      </c>
      <c r="T11" s="408">
        <f>K11*$G11*$H11/2000</f>
        <v>0</v>
      </c>
      <c r="U11" s="202">
        <f t="shared" ref="U11:Z11" si="2">L11*$G11*$H11/2000</f>
        <v>0</v>
      </c>
      <c r="V11" s="202">
        <f t="shared" si="2"/>
        <v>0</v>
      </c>
      <c r="W11" s="202">
        <f t="shared" si="2"/>
        <v>0</v>
      </c>
      <c r="X11" s="202">
        <f t="shared" si="2"/>
        <v>0</v>
      </c>
      <c r="Y11" s="202">
        <f t="shared" si="2"/>
        <v>0</v>
      </c>
      <c r="Z11" s="213">
        <f t="shared" si="2"/>
        <v>0</v>
      </c>
      <c r="AA11" s="256"/>
      <c r="AB11" s="256"/>
      <c r="AC11" s="256"/>
      <c r="AD11" s="256"/>
      <c r="AE11" s="256"/>
      <c r="AF11" s="256"/>
      <c r="AG11" s="256"/>
      <c r="AH11" s="256"/>
      <c r="AI11" s="256"/>
      <c r="AJ11" s="256"/>
      <c r="AK11" s="256"/>
      <c r="AL11" s="256"/>
      <c r="AM11" s="256"/>
      <c r="AN11" s="256"/>
      <c r="AO11" s="256"/>
      <c r="AP11" s="256"/>
      <c r="AQ11" s="256"/>
      <c r="AR11" s="256"/>
    </row>
    <row r="12" spans="1:44" s="183" customFormat="1" x14ac:dyDescent="0.2">
      <c r="A12" s="206"/>
      <c r="B12" s="207" t="s">
        <v>200</v>
      </c>
      <c r="C12" s="207"/>
      <c r="D12" s="208">
        <v>0</v>
      </c>
      <c r="E12" s="209">
        <f>FACTORS!$I$2*D12</f>
        <v>0</v>
      </c>
      <c r="F12" s="201">
        <f>E12*24</f>
        <v>0</v>
      </c>
      <c r="G12" s="210">
        <v>0</v>
      </c>
      <c r="H12" s="211">
        <v>0</v>
      </c>
      <c r="I12" s="406">
        <f>FACTORS!$C$18*D12/453.592</f>
        <v>0</v>
      </c>
      <c r="J12" s="404">
        <f>FACTORS!$D$18*D12/453.592</f>
        <v>0</v>
      </c>
      <c r="K12" s="405">
        <f>FACTORS!$E$18*D12/453.592</f>
        <v>0</v>
      </c>
      <c r="L12" s="202">
        <f>FACTORS!$F$18*D12/453.592</f>
        <v>0</v>
      </c>
      <c r="M12" s="202">
        <f>FACTORS!$G$18*D12/453.592</f>
        <v>0</v>
      </c>
      <c r="N12" s="201">
        <f>FACTORS!$H$18*D12/453.592</f>
        <v>0</v>
      </c>
      <c r="O12" s="202">
        <f>FACTORS!$I$18*D12/453.592</f>
        <v>0</v>
      </c>
      <c r="P12" s="202">
        <f>FACTORS!$J$18*D12/453.592</f>
        <v>0</v>
      </c>
      <c r="Q12" s="204">
        <f>FACTORS!$K$18*D12/453.592</f>
        <v>0</v>
      </c>
      <c r="R12" s="200">
        <f>IF(I12=0,0,I12*($F12/($E12*24))*$G12*$H12/2000)</f>
        <v>0</v>
      </c>
      <c r="S12" s="202">
        <f t="shared" ref="S12:W12" si="3">IF(J12=0,0,J12*($F12/($E12*24))*$G12*$H12/2000)</f>
        <v>0</v>
      </c>
      <c r="T12" s="202">
        <f t="shared" si="3"/>
        <v>0</v>
      </c>
      <c r="U12" s="202">
        <f t="shared" si="3"/>
        <v>0</v>
      </c>
      <c r="V12" s="202">
        <f t="shared" si="3"/>
        <v>0</v>
      </c>
      <c r="W12" s="202">
        <f t="shared" si="3"/>
        <v>0</v>
      </c>
      <c r="X12" s="202">
        <f>IFERROR(IF(O12=0,0,O12*($F12/($E12*24))*$G12*$H12/2000),"--")</f>
        <v>0</v>
      </c>
      <c r="Y12" s="202">
        <f t="shared" ref="Y12" si="4">IF(P12=0,0,P12*($F12/($E12*24))*$G12*$H12/2000)</f>
        <v>0</v>
      </c>
      <c r="Z12" s="213">
        <f>IFERROR(IF(Q12=0,0,Q12*($F12/($E12*24))*$G12*$H12/2000),"--")</f>
        <v>0</v>
      </c>
      <c r="AA12" s="256"/>
      <c r="AB12" s="256"/>
      <c r="AC12" s="256"/>
      <c r="AD12" s="256"/>
      <c r="AE12" s="256"/>
      <c r="AF12" s="256"/>
      <c r="AG12" s="256"/>
      <c r="AH12" s="256"/>
      <c r="AI12" s="256"/>
      <c r="AJ12" s="256"/>
      <c r="AK12" s="256"/>
      <c r="AL12" s="256"/>
      <c r="AM12" s="256"/>
      <c r="AN12" s="256"/>
      <c r="AO12" s="256"/>
      <c r="AP12" s="256"/>
      <c r="AQ12" s="256"/>
      <c r="AR12" s="256"/>
    </row>
    <row r="13" spans="1:44" ht="12.75" customHeight="1" x14ac:dyDescent="0.2">
      <c r="A13" s="61"/>
      <c r="B13" s="62"/>
      <c r="C13" s="62"/>
      <c r="D13" s="63"/>
      <c r="E13" s="64" t="s">
        <v>0</v>
      </c>
      <c r="F13" s="65"/>
      <c r="G13" s="66"/>
      <c r="H13" s="67"/>
      <c r="I13" s="59" t="s">
        <v>0</v>
      </c>
      <c r="J13" s="60"/>
      <c r="K13" s="374"/>
      <c r="L13" s="60" t="s">
        <v>0</v>
      </c>
      <c r="M13" s="60"/>
      <c r="N13" s="58"/>
      <c r="O13" s="60"/>
      <c r="P13" s="60"/>
      <c r="Q13" s="151"/>
      <c r="R13" s="75"/>
      <c r="S13" s="60"/>
      <c r="T13" s="60"/>
      <c r="U13" s="60"/>
      <c r="V13" s="60"/>
      <c r="W13" s="60"/>
      <c r="X13" s="60"/>
      <c r="Y13" s="60"/>
      <c r="Z13" s="110"/>
    </row>
    <row r="14" spans="1:44" s="183" customFormat="1" ht="12.75" customHeight="1" x14ac:dyDescent="0.2">
      <c r="A14" s="206" t="s">
        <v>183</v>
      </c>
      <c r="B14" s="207" t="s">
        <v>121</v>
      </c>
      <c r="C14" s="207"/>
      <c r="D14" s="208">
        <v>0</v>
      </c>
      <c r="E14" s="216">
        <f>FACTORS!$I$2*D14</f>
        <v>0</v>
      </c>
      <c r="F14" s="201">
        <f>E14*24</f>
        <v>0</v>
      </c>
      <c r="G14" s="210">
        <v>0</v>
      </c>
      <c r="H14" s="211">
        <v>0</v>
      </c>
      <c r="I14" s="236">
        <f>FACTORS!$C$17*D14/453.592</f>
        <v>0</v>
      </c>
      <c r="J14" s="407">
        <f>FACTORS!$D$17*D14/453.592</f>
        <v>0</v>
      </c>
      <c r="K14" s="409">
        <f>FACTORS!$E$17*D14/453.592</f>
        <v>0</v>
      </c>
      <c r="L14" s="219">
        <f>FACTORS!$F$17*D14/453.592</f>
        <v>0</v>
      </c>
      <c r="M14" s="219">
        <f>FACTORS!$G$17*D14/453.592</f>
        <v>0</v>
      </c>
      <c r="N14" s="218">
        <f>FACTORS!$H$17*D14/453.592</f>
        <v>0</v>
      </c>
      <c r="O14" s="219">
        <f>FACTORS!$I$17*D14/453.592</f>
        <v>0</v>
      </c>
      <c r="P14" s="219">
        <f>FACTORS!$J$17*D14/453.592</f>
        <v>0</v>
      </c>
      <c r="Q14" s="220">
        <f>FACTORS!$K$17*D14/453.592</f>
        <v>0</v>
      </c>
      <c r="R14" s="217">
        <f>IF(I14=0,0,I14*($F14/($E14*24))*$G14*$H14/2000)</f>
        <v>0</v>
      </c>
      <c r="S14" s="219">
        <f t="shared" ref="S14:W14" si="5">IF(J14=0,0,J14*($F14/($E14*24))*$G14*$H14/2000)</f>
        <v>0</v>
      </c>
      <c r="T14" s="219">
        <f t="shared" si="5"/>
        <v>0</v>
      </c>
      <c r="U14" s="219">
        <f t="shared" si="5"/>
        <v>0</v>
      </c>
      <c r="V14" s="219">
        <f t="shared" si="5"/>
        <v>0</v>
      </c>
      <c r="W14" s="219">
        <f t="shared" si="5"/>
        <v>0</v>
      </c>
      <c r="X14" s="219">
        <f>IFERROR(IF(O14=0,0,O14*($F14/($E14*24))*$G14*$H14/2000),"--")</f>
        <v>0</v>
      </c>
      <c r="Y14" s="219">
        <f t="shared" ref="Y14" si="6">IF(P14=0,0,P14*($F14/($E14*24))*$G14*$H14/2000)</f>
        <v>0</v>
      </c>
      <c r="Z14" s="221">
        <f>IFERROR(IF(Q14=0,0,Q14*($F14/($E14*24))*$G14*$H14/2000),"--")</f>
        <v>0</v>
      </c>
      <c r="AA14" s="256"/>
      <c r="AB14" s="256"/>
      <c r="AC14" s="256"/>
      <c r="AD14" s="256"/>
      <c r="AE14" s="256"/>
      <c r="AF14" s="256"/>
      <c r="AG14" s="256"/>
      <c r="AH14" s="256"/>
      <c r="AI14" s="256"/>
      <c r="AJ14" s="256"/>
      <c r="AK14" s="256"/>
      <c r="AL14" s="256"/>
      <c r="AM14" s="256"/>
      <c r="AN14" s="256"/>
      <c r="AO14" s="256"/>
      <c r="AP14" s="256"/>
      <c r="AQ14" s="256"/>
      <c r="AR14" s="256"/>
    </row>
    <row r="15" spans="1:44" ht="12.75" customHeight="1" x14ac:dyDescent="0.2">
      <c r="A15" s="61"/>
      <c r="B15" s="62"/>
      <c r="C15" s="62"/>
      <c r="D15" s="450" t="s">
        <v>205</v>
      </c>
      <c r="E15" s="64" t="s">
        <v>0</v>
      </c>
      <c r="F15" s="65"/>
      <c r="G15" s="66"/>
      <c r="H15" s="67"/>
      <c r="I15" s="59" t="s">
        <v>0</v>
      </c>
      <c r="J15" s="414" t="s">
        <v>0</v>
      </c>
      <c r="K15" s="415" t="s">
        <v>0</v>
      </c>
      <c r="L15" s="60" t="s">
        <v>0</v>
      </c>
      <c r="M15" s="60"/>
      <c r="N15" s="58"/>
      <c r="O15" s="60"/>
      <c r="P15" s="60"/>
      <c r="Q15" s="151"/>
      <c r="R15" s="75"/>
      <c r="S15" s="60"/>
      <c r="T15" s="60"/>
      <c r="U15" s="60"/>
      <c r="V15" s="60"/>
      <c r="W15" s="60"/>
      <c r="X15" s="68"/>
      <c r="Y15" s="68"/>
      <c r="Z15" s="69"/>
    </row>
    <row r="16" spans="1:44" ht="12.75" customHeight="1" x14ac:dyDescent="0.2">
      <c r="A16" s="230" t="s">
        <v>61</v>
      </c>
      <c r="B16" s="231" t="s">
        <v>31</v>
      </c>
      <c r="C16" s="232"/>
      <c r="D16" s="233">
        <v>0</v>
      </c>
      <c r="E16" s="227"/>
      <c r="F16" s="228"/>
      <c r="G16" s="234">
        <v>0</v>
      </c>
      <c r="H16" s="235">
        <v>0</v>
      </c>
      <c r="I16" s="236">
        <f>FACTORS!$C$27*D16/24</f>
        <v>0</v>
      </c>
      <c r="J16" s="407">
        <f>FACTORS!$D$27*D16/24</f>
        <v>0</v>
      </c>
      <c r="K16" s="409">
        <f>FACTORS!$E$27*D16/24</f>
        <v>0</v>
      </c>
      <c r="L16" s="219">
        <f>FACTORS!$F$27*D16/24</f>
        <v>0</v>
      </c>
      <c r="M16" s="219">
        <f>FACTORS!$G$27*D16/24</f>
        <v>0</v>
      </c>
      <c r="N16" s="218">
        <f>FACTORS!$H$27*D16/24</f>
        <v>0</v>
      </c>
      <c r="O16" s="218">
        <f>FACTORS!$I$27*D16/24</f>
        <v>0</v>
      </c>
      <c r="P16" s="219">
        <f>FACTORS!$J$27*D16/24</f>
        <v>0</v>
      </c>
      <c r="Q16" s="219">
        <f>FACTORS!$K$27*D16/24</f>
        <v>0</v>
      </c>
      <c r="R16" s="236">
        <f>IFERROR(I16*$G16*$H16/2000, "--")</f>
        <v>0</v>
      </c>
      <c r="S16" s="408">
        <f>IFERROR(J16*$G16*$H16/2000, "--")</f>
        <v>0</v>
      </c>
      <c r="T16" s="409">
        <f>IFERROR(K16*$G16*$H16/2000, "--")</f>
        <v>0</v>
      </c>
      <c r="U16" s="219">
        <f t="shared" ref="U16:Z16" si="7">IFERROR(L16*$G16*$H16/2000, "--")</f>
        <v>0</v>
      </c>
      <c r="V16" s="219">
        <f t="shared" si="7"/>
        <v>0</v>
      </c>
      <c r="W16" s="219">
        <f t="shared" si="7"/>
        <v>0</v>
      </c>
      <c r="X16" s="219">
        <f t="shared" si="7"/>
        <v>0</v>
      </c>
      <c r="Y16" s="218">
        <f t="shared" si="7"/>
        <v>0</v>
      </c>
      <c r="Z16" s="221">
        <f t="shared" si="7"/>
        <v>0</v>
      </c>
    </row>
    <row r="17" spans="1:44" ht="15" customHeight="1" x14ac:dyDescent="0.2">
      <c r="A17" s="237" t="s">
        <v>65</v>
      </c>
      <c r="B17" s="207" t="s">
        <v>128</v>
      </c>
      <c r="C17" s="238"/>
      <c r="D17" s="239"/>
      <c r="E17" s="209">
        <v>0</v>
      </c>
      <c r="F17" s="229" t="s">
        <v>0</v>
      </c>
      <c r="G17" s="208">
        <v>0</v>
      </c>
      <c r="H17" s="211">
        <v>0</v>
      </c>
      <c r="I17" s="222">
        <f>FACTORS!$C$22*E17/1000000</f>
        <v>0</v>
      </c>
      <c r="J17" s="408">
        <f>FACTORS!$D$22*E17/1000000</f>
        <v>0</v>
      </c>
      <c r="K17" s="404">
        <f>FACTORS!$E$22*E17/1000000</f>
        <v>0</v>
      </c>
      <c r="L17" s="202">
        <f>FACTORS!$F$22*E17/1000000</f>
        <v>0</v>
      </c>
      <c r="M17" s="202">
        <f>FACTORS!$G$22*E17/1000000</f>
        <v>0</v>
      </c>
      <c r="N17" s="201">
        <f>FACTORS!$H$22*E17/1000000</f>
        <v>0</v>
      </c>
      <c r="O17" s="202" t="str">
        <f>IFERROR(FACTORS!$I$22*E17/1000000,"--")</f>
        <v>--</v>
      </c>
      <c r="P17" s="202">
        <f>FACTORS!$J$22*E17/1000000</f>
        <v>0</v>
      </c>
      <c r="Q17" s="212" t="str">
        <f>IFERROR(FACTORS!$K$22*E17/1000000, "--")</f>
        <v>--</v>
      </c>
      <c r="R17" s="222">
        <f>IFERROR(I17*$G17*$H17/2000,"--")</f>
        <v>0</v>
      </c>
      <c r="S17" s="408">
        <f t="shared" ref="S17:Z20" si="8">IFERROR(J17*$G17*$H17/2000,"--")</f>
        <v>0</v>
      </c>
      <c r="T17" s="404">
        <f t="shared" si="8"/>
        <v>0</v>
      </c>
      <c r="U17" s="202">
        <f t="shared" si="8"/>
        <v>0</v>
      </c>
      <c r="V17" s="202">
        <f t="shared" si="8"/>
        <v>0</v>
      </c>
      <c r="W17" s="202">
        <f t="shared" si="8"/>
        <v>0</v>
      </c>
      <c r="X17" s="202" t="str">
        <f t="shared" si="8"/>
        <v>--</v>
      </c>
      <c r="Y17" s="202">
        <f t="shared" si="8"/>
        <v>0</v>
      </c>
      <c r="Z17" s="213" t="str">
        <f t="shared" si="8"/>
        <v>--</v>
      </c>
    </row>
    <row r="18" spans="1:44" ht="15" customHeight="1" x14ac:dyDescent="0.2">
      <c r="A18" s="237"/>
      <c r="B18" s="207" t="s">
        <v>129</v>
      </c>
      <c r="C18" s="207"/>
      <c r="D18" s="240"/>
      <c r="E18" s="209">
        <v>0</v>
      </c>
      <c r="F18" s="229" t="s">
        <v>0</v>
      </c>
      <c r="G18" s="208">
        <v>0</v>
      </c>
      <c r="H18" s="211">
        <v>0</v>
      </c>
      <c r="I18" s="222">
        <f>FACTORS!$C$23*E18/1000000</f>
        <v>0</v>
      </c>
      <c r="J18" s="408">
        <f>FACTORS!$D$23*E18/1000000</f>
        <v>0</v>
      </c>
      <c r="K18" s="404">
        <f>FACTORS!$E$23*E18/1000000</f>
        <v>0</v>
      </c>
      <c r="L18" s="202">
        <f>FACTORS!$F$23*E18/1000000</f>
        <v>0</v>
      </c>
      <c r="M18" s="202">
        <f>FACTORS!$G$23*E18/1000000</f>
        <v>0</v>
      </c>
      <c r="N18" s="201">
        <f>FACTORS!$H$23*E18/1000000</f>
        <v>0</v>
      </c>
      <c r="O18" s="202" t="str">
        <f>IFERROR(FACTORS!$I$23*E18/1000000, "--")</f>
        <v>--</v>
      </c>
      <c r="P18" s="202">
        <f>FACTORS!$J$23*E18/1000000</f>
        <v>0</v>
      </c>
      <c r="Q18" s="223" t="str">
        <f>IFERROR(FACTORS!$K$23*E18/1000000, "--")</f>
        <v>--</v>
      </c>
      <c r="R18" s="222">
        <f>IFERROR(I18*$G18*$H18/2000,"--")</f>
        <v>0</v>
      </c>
      <c r="S18" s="408">
        <f t="shared" si="8"/>
        <v>0</v>
      </c>
      <c r="T18" s="404">
        <f t="shared" si="8"/>
        <v>0</v>
      </c>
      <c r="U18" s="202">
        <f t="shared" si="8"/>
        <v>0</v>
      </c>
      <c r="V18" s="202">
        <f t="shared" si="8"/>
        <v>0</v>
      </c>
      <c r="W18" s="202">
        <f t="shared" si="8"/>
        <v>0</v>
      </c>
      <c r="X18" s="202" t="str">
        <f t="shared" si="8"/>
        <v>--</v>
      </c>
      <c r="Y18" s="202">
        <f t="shared" si="8"/>
        <v>0</v>
      </c>
      <c r="Z18" s="213" t="str">
        <f t="shared" si="8"/>
        <v>--</v>
      </c>
    </row>
    <row r="19" spans="1:44" ht="15" customHeight="1" x14ac:dyDescent="0.2">
      <c r="A19" s="237"/>
      <c r="B19" s="207" t="s">
        <v>130</v>
      </c>
      <c r="C19" s="207"/>
      <c r="D19" s="240"/>
      <c r="E19" s="209">
        <v>0</v>
      </c>
      <c r="F19" s="229" t="s">
        <v>0</v>
      </c>
      <c r="G19" s="208">
        <v>0</v>
      </c>
      <c r="H19" s="211">
        <v>0</v>
      </c>
      <c r="I19" s="222">
        <f>FACTORS!$C$24*E19/1000000</f>
        <v>0</v>
      </c>
      <c r="J19" s="408">
        <f>FACTORS!$D$24*E19/1000000</f>
        <v>0</v>
      </c>
      <c r="K19" s="404">
        <f>FACTORS!$E$24*E19/1000000</f>
        <v>0</v>
      </c>
      <c r="L19" s="202">
        <f>FACTORS!$F$24*E19/1000000</f>
        <v>0</v>
      </c>
      <c r="M19" s="202">
        <f>FACTORS!$G$24*E19/1000000</f>
        <v>0</v>
      </c>
      <c r="N19" s="201">
        <f>FACTORS!$H$24*E19/1000000</f>
        <v>0</v>
      </c>
      <c r="O19" s="202" t="str">
        <f>IFERROR(FACTORS!$I$24*E19/1000000, "--")</f>
        <v>--</v>
      </c>
      <c r="P19" s="202">
        <f>FACTORS!$J$24*E19/1000000</f>
        <v>0</v>
      </c>
      <c r="Q19" s="223" t="str">
        <f>IFERROR(FACTORS!$K$24*E19/1000000, "--")</f>
        <v>--</v>
      </c>
      <c r="R19" s="222">
        <f>IFERROR(I19*$G19*$H19/2000,"--")</f>
        <v>0</v>
      </c>
      <c r="S19" s="408">
        <f t="shared" si="8"/>
        <v>0</v>
      </c>
      <c r="T19" s="404">
        <f t="shared" si="8"/>
        <v>0</v>
      </c>
      <c r="U19" s="202">
        <f t="shared" si="8"/>
        <v>0</v>
      </c>
      <c r="V19" s="202">
        <f t="shared" si="8"/>
        <v>0</v>
      </c>
      <c r="W19" s="202">
        <f t="shared" si="8"/>
        <v>0</v>
      </c>
      <c r="X19" s="202" t="str">
        <f t="shared" si="8"/>
        <v>--</v>
      </c>
      <c r="Y19" s="202">
        <f t="shared" si="8"/>
        <v>0</v>
      </c>
      <c r="Z19" s="213" t="str">
        <f t="shared" si="8"/>
        <v>--</v>
      </c>
    </row>
    <row r="20" spans="1:44" ht="15" customHeight="1" x14ac:dyDescent="0.2">
      <c r="A20" s="237"/>
      <c r="B20" s="207" t="s">
        <v>131</v>
      </c>
      <c r="C20" s="207"/>
      <c r="D20" s="240"/>
      <c r="E20" s="209">
        <v>0</v>
      </c>
      <c r="F20" s="229" t="s">
        <v>0</v>
      </c>
      <c r="G20" s="208">
        <v>0</v>
      </c>
      <c r="H20" s="211">
        <v>0</v>
      </c>
      <c r="I20" s="222">
        <f>FACTORS!$C$25*E20/1000000</f>
        <v>0</v>
      </c>
      <c r="J20" s="408">
        <f>FACTORS!$D$25*E20/1000000</f>
        <v>0</v>
      </c>
      <c r="K20" s="404">
        <f>FACTORS!$E$25*E20/1000000</f>
        <v>0</v>
      </c>
      <c r="L20" s="202">
        <f>FACTORS!$F$25*E20/1000000</f>
        <v>0</v>
      </c>
      <c r="M20" s="202">
        <f>FACTORS!$G$25*E20/1000000</f>
        <v>0</v>
      </c>
      <c r="N20" s="201">
        <f>FACTORS!$H$25*E20/1000000</f>
        <v>0</v>
      </c>
      <c r="O20" s="202" t="str">
        <f>IFERROR(FACTORS!$I$25*E20/1000000, "--")</f>
        <v>--</v>
      </c>
      <c r="P20" s="202">
        <f>FACTORS!$J$25*E20/1000000</f>
        <v>0</v>
      </c>
      <c r="Q20" s="223" t="str">
        <f>IFERROR(FACTORS!$K$25*E20/1000000, "--")</f>
        <v>--</v>
      </c>
      <c r="R20" s="328">
        <f>IFERROR(I20*$G20*$H20/2000,"--")</f>
        <v>0</v>
      </c>
      <c r="S20" s="410">
        <f t="shared" si="8"/>
        <v>0</v>
      </c>
      <c r="T20" s="411">
        <f>IFERROR(K20*$G20*$H20/2000,"--")</f>
        <v>0</v>
      </c>
      <c r="U20" s="225">
        <f t="shared" si="8"/>
        <v>0</v>
      </c>
      <c r="V20" s="225">
        <f t="shared" si="8"/>
        <v>0</v>
      </c>
      <c r="W20" s="225">
        <f t="shared" si="8"/>
        <v>0</v>
      </c>
      <c r="X20" s="225" t="str">
        <f t="shared" si="8"/>
        <v>--</v>
      </c>
      <c r="Y20" s="225">
        <f t="shared" si="8"/>
        <v>0</v>
      </c>
      <c r="Z20" s="226" t="str">
        <f t="shared" si="8"/>
        <v>--</v>
      </c>
    </row>
    <row r="21" spans="1:44" ht="24.75" customHeight="1" x14ac:dyDescent="0.2">
      <c r="A21" s="360" t="s">
        <v>184</v>
      </c>
      <c r="B21" s="362" t="s">
        <v>160</v>
      </c>
      <c r="C21" s="157"/>
      <c r="D21" s="357" t="s">
        <v>100</v>
      </c>
      <c r="E21" s="74"/>
      <c r="F21" s="74"/>
      <c r="G21" s="169" t="s">
        <v>60</v>
      </c>
      <c r="H21" s="358" t="s">
        <v>71</v>
      </c>
      <c r="I21" s="375"/>
      <c r="J21" s="425"/>
      <c r="K21" s="426"/>
      <c r="L21" s="320"/>
      <c r="M21" s="320"/>
      <c r="N21" s="121"/>
      <c r="O21" s="320"/>
      <c r="P21" s="320"/>
      <c r="Q21" s="359"/>
      <c r="R21" s="59"/>
      <c r="S21" s="414"/>
      <c r="T21" s="415"/>
      <c r="U21" s="60"/>
      <c r="V21" s="60"/>
      <c r="W21" s="60"/>
      <c r="X21" s="60"/>
      <c r="Y21" s="60"/>
      <c r="Z21" s="110"/>
    </row>
    <row r="22" spans="1:44" s="183" customFormat="1" ht="12.75" customHeight="1" x14ac:dyDescent="0.2">
      <c r="A22" s="324"/>
      <c r="B22" s="271" t="s">
        <v>120</v>
      </c>
      <c r="C22" s="272"/>
      <c r="D22" s="273">
        <v>0</v>
      </c>
      <c r="E22" s="270"/>
      <c r="F22" s="270"/>
      <c r="G22" s="273">
        <v>0</v>
      </c>
      <c r="H22" s="325">
        <v>0</v>
      </c>
      <c r="I22" s="328">
        <f>FACTORS!$C$41*D22/453.592</f>
        <v>0</v>
      </c>
      <c r="J22" s="410">
        <f>FACTORS!$D$41*D22/453.592</f>
        <v>0</v>
      </c>
      <c r="K22" s="411">
        <f>FACTORS!$E$41*D22/453.592</f>
        <v>0</v>
      </c>
      <c r="L22" s="225">
        <f>FACTORS!$F$41*D22/453.592</f>
        <v>0</v>
      </c>
      <c r="M22" s="225">
        <f>FACTORS!$G$41*D22/453.592</f>
        <v>0</v>
      </c>
      <c r="N22" s="326">
        <f>FACTORS!$H$41*D22/453.592</f>
        <v>0</v>
      </c>
      <c r="O22" s="365" t="s">
        <v>108</v>
      </c>
      <c r="P22" s="225">
        <f>FACTORS!$J$41*D22/453.592</f>
        <v>0</v>
      </c>
      <c r="Q22" s="356">
        <f>FACTORS!$K$41*D22/453.592</f>
        <v>0</v>
      </c>
      <c r="R22" s="224">
        <f t="shared" ref="R22" si="9">IFERROR((I22*$G22*$H22)/2000, "")</f>
        <v>0</v>
      </c>
      <c r="S22" s="410">
        <f>IFERROR((J22*$G22*$H22)/2000, "")</f>
        <v>0</v>
      </c>
      <c r="T22" s="411">
        <f>IFERROR((K22*$G22*$H22)/2000, "")</f>
        <v>0</v>
      </c>
      <c r="U22" s="327">
        <f t="shared" ref="U22:W22" si="10">IFERROR((L22*$G22*$H22)/2000, "")</f>
        <v>0</v>
      </c>
      <c r="V22" s="327">
        <f t="shared" si="10"/>
        <v>0</v>
      </c>
      <c r="W22" s="327">
        <f t="shared" si="10"/>
        <v>0</v>
      </c>
      <c r="X22" s="327" t="str">
        <f>IFERROR((O22*$G22*$H22)/2000, "--")</f>
        <v>--</v>
      </c>
      <c r="Y22" s="327">
        <f t="shared" ref="Y22:Z22" si="11">IFERROR((P22*$G22*$H22)/2000, "")</f>
        <v>0</v>
      </c>
      <c r="Z22" s="226">
        <f t="shared" si="11"/>
        <v>0</v>
      </c>
      <c r="AA22" s="256"/>
      <c r="AB22" s="256"/>
      <c r="AC22" s="256"/>
      <c r="AD22" s="256"/>
      <c r="AE22" s="256"/>
      <c r="AF22" s="256"/>
      <c r="AG22" s="256"/>
      <c r="AH22" s="256"/>
      <c r="AI22" s="256"/>
      <c r="AJ22" s="256"/>
      <c r="AK22" s="256"/>
      <c r="AL22" s="256"/>
      <c r="AM22" s="256"/>
      <c r="AN22" s="256"/>
      <c r="AO22" s="256"/>
      <c r="AP22" s="256"/>
      <c r="AQ22" s="256"/>
      <c r="AR22" s="256"/>
    </row>
    <row r="23" spans="1:44" s="252" customFormat="1" ht="12.75" customHeight="1" x14ac:dyDescent="0.2">
      <c r="A23" s="248">
        <f>EMISSIONS3!A23+1</f>
        <v>2023</v>
      </c>
      <c r="B23" s="249" t="s">
        <v>123</v>
      </c>
      <c r="C23" s="355"/>
      <c r="D23" s="241"/>
      <c r="E23" s="241"/>
      <c r="F23" s="250"/>
      <c r="G23" s="241"/>
      <c r="H23" s="251"/>
      <c r="I23" s="379">
        <f t="shared" ref="I23:Q23" si="12">SUM(I7:I22)</f>
        <v>0</v>
      </c>
      <c r="J23" s="412">
        <f t="shared" si="12"/>
        <v>0</v>
      </c>
      <c r="K23" s="413">
        <f t="shared" si="12"/>
        <v>0</v>
      </c>
      <c r="L23" s="253">
        <f t="shared" si="12"/>
        <v>0</v>
      </c>
      <c r="M23" s="253">
        <f t="shared" si="12"/>
        <v>0</v>
      </c>
      <c r="N23" s="253">
        <f t="shared" si="12"/>
        <v>0</v>
      </c>
      <c r="O23" s="253">
        <f t="shared" si="12"/>
        <v>0</v>
      </c>
      <c r="P23" s="253">
        <f t="shared" si="12"/>
        <v>0</v>
      </c>
      <c r="Q23" s="253">
        <f t="shared" si="12"/>
        <v>0</v>
      </c>
      <c r="R23" s="382">
        <f t="shared" ref="R23:Z23" si="13">SUM(R7:R22)</f>
        <v>0</v>
      </c>
      <c r="S23" s="412">
        <f t="shared" si="13"/>
        <v>0</v>
      </c>
      <c r="T23" s="413">
        <f t="shared" si="13"/>
        <v>0</v>
      </c>
      <c r="U23" s="253">
        <f t="shared" si="13"/>
        <v>0</v>
      </c>
      <c r="V23" s="253">
        <f t="shared" si="13"/>
        <v>0</v>
      </c>
      <c r="W23" s="253">
        <f t="shared" si="13"/>
        <v>0</v>
      </c>
      <c r="X23" s="253">
        <f t="shared" si="13"/>
        <v>0</v>
      </c>
      <c r="Y23" s="253">
        <f t="shared" si="13"/>
        <v>0</v>
      </c>
      <c r="Z23" s="261">
        <f t="shared" si="13"/>
        <v>0</v>
      </c>
      <c r="AA23" s="256"/>
      <c r="AB23" s="256"/>
      <c r="AC23" s="256"/>
      <c r="AD23" s="256"/>
      <c r="AE23" s="256"/>
      <c r="AF23" s="256"/>
      <c r="AG23" s="256"/>
      <c r="AH23" s="256"/>
      <c r="AI23" s="256"/>
      <c r="AJ23" s="256"/>
      <c r="AK23" s="256"/>
      <c r="AL23" s="256"/>
      <c r="AM23" s="256"/>
      <c r="AN23" s="256"/>
      <c r="AO23" s="256"/>
      <c r="AP23" s="256"/>
      <c r="AQ23" s="256"/>
      <c r="AR23" s="256"/>
    </row>
    <row r="24" spans="1:44" ht="26.1" customHeight="1" x14ac:dyDescent="0.2">
      <c r="A24" s="280" t="s">
        <v>66</v>
      </c>
      <c r="B24" s="76" t="s">
        <v>67</v>
      </c>
      <c r="C24" s="76"/>
      <c r="D24" s="70"/>
      <c r="E24" s="70"/>
      <c r="F24" s="71"/>
      <c r="G24" s="70"/>
      <c r="H24" s="119"/>
      <c r="I24" s="376"/>
      <c r="J24" s="421"/>
      <c r="K24" s="422"/>
      <c r="L24" s="285"/>
      <c r="M24" s="285"/>
      <c r="N24" s="285"/>
      <c r="O24" s="285"/>
      <c r="P24" s="285"/>
      <c r="Q24" s="120"/>
      <c r="R24" s="378">
        <f>33.3*$B$25</f>
        <v>0</v>
      </c>
      <c r="S24" s="417"/>
      <c r="T24" s="418"/>
      <c r="U24" s="288">
        <f>33.3*$B$25</f>
        <v>0</v>
      </c>
      <c r="V24" s="288">
        <f>33.3*$B$25</f>
        <v>0</v>
      </c>
      <c r="W24" s="288">
        <f>33.3*$B$25</f>
        <v>0</v>
      </c>
      <c r="X24" s="288"/>
      <c r="Y24" s="288">
        <f>3400*$B$25^(2/3)</f>
        <v>0</v>
      </c>
      <c r="Z24" s="289"/>
    </row>
    <row r="25" spans="1:44" s="276" customFormat="1" ht="12.75" customHeight="1" x14ac:dyDescent="0.2">
      <c r="A25" s="350"/>
      <c r="B25" s="137">
        <f>EMISSIONS1!B25</f>
        <v>0</v>
      </c>
      <c r="C25" s="137"/>
      <c r="D25" s="11"/>
      <c r="E25" s="11"/>
      <c r="F25" s="136"/>
      <c r="G25" s="11"/>
      <c r="H25" s="72"/>
      <c r="I25" s="321"/>
      <c r="J25" s="387"/>
      <c r="K25" s="416"/>
      <c r="L25" s="153"/>
      <c r="M25" s="153"/>
      <c r="N25" s="153"/>
      <c r="O25" s="153"/>
      <c r="P25" s="153"/>
      <c r="Q25" s="351"/>
      <c r="R25" s="352"/>
      <c r="S25" s="419"/>
      <c r="T25" s="420"/>
      <c r="U25" s="353"/>
      <c r="V25" s="353"/>
      <c r="W25" s="353"/>
      <c r="X25" s="353"/>
      <c r="Y25" s="353"/>
      <c r="Z25" s="354"/>
      <c r="AA25" s="275"/>
      <c r="AB25" s="275"/>
      <c r="AC25" s="275"/>
      <c r="AD25" s="275"/>
      <c r="AE25" s="275"/>
      <c r="AF25" s="275"/>
      <c r="AG25" s="275"/>
      <c r="AH25" s="275"/>
      <c r="AI25" s="275"/>
      <c r="AJ25" s="275"/>
      <c r="AK25" s="275"/>
      <c r="AL25" s="275"/>
      <c r="AM25" s="275"/>
      <c r="AN25" s="275"/>
      <c r="AO25" s="275"/>
      <c r="AP25" s="275"/>
      <c r="AQ25" s="275"/>
      <c r="AR25" s="275"/>
    </row>
    <row r="26" spans="1:44" s="183" customFormat="1" ht="12.75" customHeight="1" x14ac:dyDescent="0.2">
      <c r="A26" s="174" t="s">
        <v>61</v>
      </c>
      <c r="B26" s="175" t="s">
        <v>114</v>
      </c>
      <c r="C26" s="175"/>
      <c r="D26" s="176">
        <v>0</v>
      </c>
      <c r="E26" s="177">
        <f>FACTORS!$I$2*D26</f>
        <v>0</v>
      </c>
      <c r="F26" s="178">
        <f t="shared" ref="F26:F32" si="14">E26*24</f>
        <v>0</v>
      </c>
      <c r="G26" s="179">
        <v>0</v>
      </c>
      <c r="H26" s="180">
        <v>0</v>
      </c>
      <c r="I26" s="184">
        <f>FACTORS!$C$17*D26/453.592</f>
        <v>0</v>
      </c>
      <c r="J26" s="332">
        <f>FACTORS!$D$17*D26/453.592</f>
        <v>0</v>
      </c>
      <c r="K26" s="246">
        <f>FACTORS!$E$17*D26/453.592</f>
        <v>0</v>
      </c>
      <c r="L26" s="181">
        <f>FACTORS!$F$17*D26/453.592</f>
        <v>0</v>
      </c>
      <c r="M26" s="181">
        <f>FACTORS!$G$17*D26/453.592</f>
        <v>0</v>
      </c>
      <c r="N26" s="178">
        <f>FACTORS!$H$17*D26/453.592</f>
        <v>0</v>
      </c>
      <c r="O26" s="181">
        <f>FACTORS!$I$17*D26/453.592</f>
        <v>0</v>
      </c>
      <c r="P26" s="181">
        <f>FACTORS!$J$17*D26/453.592</f>
        <v>0</v>
      </c>
      <c r="Q26" s="191">
        <f>FACTORS!$K$17*D26/453.592</f>
        <v>0</v>
      </c>
      <c r="R26" s="184">
        <f t="shared" ref="R26:W32" si="15">IF(I26=0,0,I26*($F26/($E26*24))*$G26*$H26/2000)</f>
        <v>0</v>
      </c>
      <c r="S26" s="332">
        <f t="shared" si="15"/>
        <v>0</v>
      </c>
      <c r="T26" s="246">
        <f t="shared" si="15"/>
        <v>0</v>
      </c>
      <c r="U26" s="181">
        <f t="shared" si="15"/>
        <v>0</v>
      </c>
      <c r="V26" s="181">
        <f t="shared" si="15"/>
        <v>0</v>
      </c>
      <c r="W26" s="181">
        <f t="shared" si="15"/>
        <v>0</v>
      </c>
      <c r="X26" s="181">
        <f t="shared" ref="X26:X32" si="16">IFERROR(IF(O26=0,0,O26*($F26/($E26*24))*$G26*$H26/2000),"--")</f>
        <v>0</v>
      </c>
      <c r="Y26" s="181">
        <f t="shared" ref="Y26:Y32" si="17">IF(P26=0,0,P26*($F26/($E26*24))*$G26*$H26/2000)</f>
        <v>0</v>
      </c>
      <c r="Z26" s="182">
        <f t="shared" ref="Z26:Z32" si="18">IFERROR(IF(Q26=0,0,Q26*($F26/($E26*24))*$G26*$H26/2000),"--")</f>
        <v>0</v>
      </c>
      <c r="AA26" s="256"/>
      <c r="AB26" s="256"/>
      <c r="AC26" s="256"/>
      <c r="AD26" s="256"/>
      <c r="AE26" s="256"/>
      <c r="AF26" s="256"/>
      <c r="AG26" s="256"/>
      <c r="AH26" s="256"/>
      <c r="AI26" s="256"/>
      <c r="AJ26" s="256"/>
      <c r="AK26" s="256"/>
      <c r="AL26" s="256"/>
      <c r="AM26" s="256"/>
      <c r="AN26" s="256"/>
      <c r="AO26" s="256"/>
      <c r="AP26" s="256"/>
      <c r="AQ26" s="256"/>
      <c r="AR26" s="256"/>
    </row>
    <row r="27" spans="1:44" s="183" customFormat="1" x14ac:dyDescent="0.2">
      <c r="A27" s="174"/>
      <c r="B27" s="175" t="s">
        <v>115</v>
      </c>
      <c r="C27" s="175"/>
      <c r="D27" s="176">
        <v>0</v>
      </c>
      <c r="E27" s="177">
        <f>FACTORS!$I$2*D27</f>
        <v>0</v>
      </c>
      <c r="F27" s="178">
        <f t="shared" si="14"/>
        <v>0</v>
      </c>
      <c r="G27" s="176">
        <v>0</v>
      </c>
      <c r="H27" s="180">
        <v>0</v>
      </c>
      <c r="I27" s="184">
        <f>FACTORS!$C$17*D27/453.592</f>
        <v>0</v>
      </c>
      <c r="J27" s="181">
        <f>FACTORS!$D$17*D27/453.592</f>
        <v>0</v>
      </c>
      <c r="K27" s="246">
        <f>FACTORS!$E$17*D27/453.592</f>
        <v>0</v>
      </c>
      <c r="L27" s="181">
        <f>FACTORS!$F$17*D27/453.592</f>
        <v>0</v>
      </c>
      <c r="M27" s="181">
        <f>FACTORS!$G$17*D27/453.592</f>
        <v>0</v>
      </c>
      <c r="N27" s="178">
        <f>FACTORS!$H$17*D27/453.592</f>
        <v>0</v>
      </c>
      <c r="O27" s="181">
        <f>FACTORS!$I$17*D27/453.592</f>
        <v>0</v>
      </c>
      <c r="P27" s="181">
        <f>FACTORS!$J$17*D27/453.592</f>
        <v>0</v>
      </c>
      <c r="Q27" s="191">
        <f>FACTORS!$K$17*D27/453.592</f>
        <v>0</v>
      </c>
      <c r="R27" s="184">
        <f t="shared" si="15"/>
        <v>0</v>
      </c>
      <c r="S27" s="181">
        <f t="shared" si="15"/>
        <v>0</v>
      </c>
      <c r="T27" s="181">
        <f t="shared" si="15"/>
        <v>0</v>
      </c>
      <c r="U27" s="181">
        <f t="shared" si="15"/>
        <v>0</v>
      </c>
      <c r="V27" s="181">
        <f t="shared" si="15"/>
        <v>0</v>
      </c>
      <c r="W27" s="181">
        <f t="shared" si="15"/>
        <v>0</v>
      </c>
      <c r="X27" s="181">
        <f t="shared" si="16"/>
        <v>0</v>
      </c>
      <c r="Y27" s="181">
        <f t="shared" si="17"/>
        <v>0</v>
      </c>
      <c r="Z27" s="182">
        <f t="shared" si="18"/>
        <v>0</v>
      </c>
      <c r="AA27" s="256"/>
      <c r="AB27" s="256"/>
      <c r="AC27" s="256"/>
      <c r="AD27" s="256"/>
      <c r="AE27" s="256"/>
      <c r="AF27" s="256"/>
      <c r="AG27" s="256"/>
      <c r="AH27" s="256"/>
      <c r="AI27" s="256"/>
      <c r="AJ27" s="256"/>
      <c r="AK27" s="256"/>
      <c r="AL27" s="256"/>
      <c r="AM27" s="256"/>
      <c r="AN27" s="256"/>
      <c r="AO27" s="256"/>
      <c r="AP27" s="256"/>
      <c r="AQ27" s="256"/>
      <c r="AR27" s="256"/>
    </row>
    <row r="28" spans="1:44" s="183" customFormat="1" x14ac:dyDescent="0.2">
      <c r="A28" s="174"/>
      <c r="B28" s="175" t="s">
        <v>116</v>
      </c>
      <c r="C28" s="175"/>
      <c r="D28" s="176">
        <v>0</v>
      </c>
      <c r="E28" s="177">
        <f>FACTORS!$I$2*D28</f>
        <v>0</v>
      </c>
      <c r="F28" s="178">
        <f t="shared" si="14"/>
        <v>0</v>
      </c>
      <c r="G28" s="176">
        <v>0</v>
      </c>
      <c r="H28" s="180">
        <v>0</v>
      </c>
      <c r="I28" s="184">
        <f>FACTORS!$C$17*D28/453.592</f>
        <v>0</v>
      </c>
      <c r="J28" s="181">
        <f>FACTORS!$D$17*D28/453.592</f>
        <v>0</v>
      </c>
      <c r="K28" s="246">
        <f>FACTORS!$E$17*D28/453.592</f>
        <v>0</v>
      </c>
      <c r="L28" s="181">
        <f>FACTORS!$F$17*D28/453.592</f>
        <v>0</v>
      </c>
      <c r="M28" s="181">
        <f>FACTORS!$G$17*D28/453.592</f>
        <v>0</v>
      </c>
      <c r="N28" s="178">
        <f>FACTORS!$H$17*D28/453.592</f>
        <v>0</v>
      </c>
      <c r="O28" s="181">
        <f>FACTORS!$I$17*D28/453.592</f>
        <v>0</v>
      </c>
      <c r="P28" s="181">
        <f>FACTORS!$J$17*D28/453.592</f>
        <v>0</v>
      </c>
      <c r="Q28" s="191">
        <f>FACTORS!$K$17*D28/453.592</f>
        <v>0</v>
      </c>
      <c r="R28" s="184">
        <f t="shared" si="15"/>
        <v>0</v>
      </c>
      <c r="S28" s="181">
        <f t="shared" si="15"/>
        <v>0</v>
      </c>
      <c r="T28" s="181">
        <f t="shared" si="15"/>
        <v>0</v>
      </c>
      <c r="U28" s="181">
        <f t="shared" si="15"/>
        <v>0</v>
      </c>
      <c r="V28" s="181">
        <f t="shared" si="15"/>
        <v>0</v>
      </c>
      <c r="W28" s="181">
        <f t="shared" si="15"/>
        <v>0</v>
      </c>
      <c r="X28" s="181">
        <f t="shared" si="16"/>
        <v>0</v>
      </c>
      <c r="Y28" s="181">
        <f t="shared" si="17"/>
        <v>0</v>
      </c>
      <c r="Z28" s="182">
        <f t="shared" si="18"/>
        <v>0</v>
      </c>
      <c r="AA28" s="256"/>
      <c r="AB28" s="256"/>
      <c r="AC28" s="256"/>
      <c r="AD28" s="256"/>
      <c r="AE28" s="256"/>
      <c r="AF28" s="256"/>
      <c r="AG28" s="256"/>
      <c r="AH28" s="256"/>
      <c r="AI28" s="256"/>
      <c r="AJ28" s="256"/>
      <c r="AK28" s="256"/>
      <c r="AL28" s="256"/>
      <c r="AM28" s="256"/>
      <c r="AN28" s="256"/>
      <c r="AO28" s="256"/>
      <c r="AP28" s="256"/>
      <c r="AQ28" s="256"/>
      <c r="AR28" s="256"/>
    </row>
    <row r="29" spans="1:44" s="183" customFormat="1" ht="12.75" customHeight="1" x14ac:dyDescent="0.2">
      <c r="A29" s="174" t="s">
        <v>63</v>
      </c>
      <c r="B29" s="175" t="s">
        <v>118</v>
      </c>
      <c r="C29" s="175"/>
      <c r="D29" s="176">
        <v>0</v>
      </c>
      <c r="E29" s="177">
        <f>FACTORS!$I$2*D29</f>
        <v>0</v>
      </c>
      <c r="F29" s="178">
        <f t="shared" si="14"/>
        <v>0</v>
      </c>
      <c r="G29" s="179">
        <v>0</v>
      </c>
      <c r="H29" s="180">
        <v>0</v>
      </c>
      <c r="I29" s="184">
        <f>FACTORS!$C$17*D29/453.592</f>
        <v>0</v>
      </c>
      <c r="J29" s="181">
        <f>FACTORS!$D$17*D29/453.592</f>
        <v>0</v>
      </c>
      <c r="K29" s="246">
        <f>FACTORS!$E$17*D29/453.592</f>
        <v>0</v>
      </c>
      <c r="L29" s="181">
        <f>FACTORS!$F$17*D29/453.592</f>
        <v>0</v>
      </c>
      <c r="M29" s="181">
        <f>FACTORS!$G$17*D29/453.592</f>
        <v>0</v>
      </c>
      <c r="N29" s="178">
        <f>FACTORS!$H$17*D29/453.592</f>
        <v>0</v>
      </c>
      <c r="O29" s="181">
        <f>FACTORS!$I$17*D29/453.592</f>
        <v>0</v>
      </c>
      <c r="P29" s="181">
        <f>FACTORS!$J$17*D29/453.592</f>
        <v>0</v>
      </c>
      <c r="Q29" s="191">
        <f>FACTORS!$K$17*D29/453.592</f>
        <v>0</v>
      </c>
      <c r="R29" s="184">
        <f t="shared" si="15"/>
        <v>0</v>
      </c>
      <c r="S29" s="181">
        <f t="shared" si="15"/>
        <v>0</v>
      </c>
      <c r="T29" s="181">
        <f t="shared" si="15"/>
        <v>0</v>
      </c>
      <c r="U29" s="181">
        <f t="shared" si="15"/>
        <v>0</v>
      </c>
      <c r="V29" s="181">
        <f t="shared" si="15"/>
        <v>0</v>
      </c>
      <c r="W29" s="181">
        <f t="shared" si="15"/>
        <v>0</v>
      </c>
      <c r="X29" s="181">
        <f t="shared" si="16"/>
        <v>0</v>
      </c>
      <c r="Y29" s="181">
        <f t="shared" si="17"/>
        <v>0</v>
      </c>
      <c r="Z29" s="182">
        <f t="shared" si="18"/>
        <v>0</v>
      </c>
      <c r="AA29" s="256"/>
      <c r="AB29" s="256"/>
      <c r="AC29" s="256"/>
      <c r="AD29" s="256"/>
      <c r="AE29" s="256"/>
      <c r="AF29" s="256"/>
      <c r="AG29" s="256"/>
      <c r="AH29" s="256"/>
      <c r="AI29" s="256"/>
      <c r="AJ29" s="256"/>
      <c r="AK29" s="256"/>
      <c r="AL29" s="256"/>
      <c r="AM29" s="256"/>
      <c r="AN29" s="256"/>
      <c r="AO29" s="256"/>
      <c r="AP29" s="256"/>
      <c r="AQ29" s="256"/>
      <c r="AR29" s="256"/>
    </row>
    <row r="30" spans="1:44" s="183" customFormat="1" ht="12.75" customHeight="1" x14ac:dyDescent="0.2">
      <c r="A30" s="174" t="s">
        <v>62</v>
      </c>
      <c r="B30" s="175" t="s">
        <v>117</v>
      </c>
      <c r="C30" s="175"/>
      <c r="D30" s="176">
        <v>0</v>
      </c>
      <c r="E30" s="177">
        <f>FACTORS!$I$2*D30</f>
        <v>0</v>
      </c>
      <c r="F30" s="178">
        <f t="shared" si="14"/>
        <v>0</v>
      </c>
      <c r="G30" s="179">
        <v>0</v>
      </c>
      <c r="H30" s="180">
        <v>0</v>
      </c>
      <c r="I30" s="184">
        <f>FACTORS!$C$17*D30/453.592</f>
        <v>0</v>
      </c>
      <c r="J30" s="181">
        <f>FACTORS!$D$17*D30/453.592</f>
        <v>0</v>
      </c>
      <c r="K30" s="246">
        <f>FACTORS!$E$17*D30/453.592</f>
        <v>0</v>
      </c>
      <c r="L30" s="181">
        <f>FACTORS!$F$17*D30/453.592</f>
        <v>0</v>
      </c>
      <c r="M30" s="181">
        <f>FACTORS!$G$17*D30/453.592</f>
        <v>0</v>
      </c>
      <c r="N30" s="178">
        <f>FACTORS!$H$17*D30/453.592</f>
        <v>0</v>
      </c>
      <c r="O30" s="181">
        <f>FACTORS!$I$17*D30/453.592</f>
        <v>0</v>
      </c>
      <c r="P30" s="181">
        <f>FACTORS!$J$17*D30/453.592</f>
        <v>0</v>
      </c>
      <c r="Q30" s="191">
        <f>FACTORS!$K$17*D30/453.592</f>
        <v>0</v>
      </c>
      <c r="R30" s="184">
        <f t="shared" si="15"/>
        <v>0</v>
      </c>
      <c r="S30" s="181">
        <f t="shared" si="15"/>
        <v>0</v>
      </c>
      <c r="T30" s="181">
        <f t="shared" si="15"/>
        <v>0</v>
      </c>
      <c r="U30" s="181">
        <f t="shared" si="15"/>
        <v>0</v>
      </c>
      <c r="V30" s="181">
        <f t="shared" si="15"/>
        <v>0</v>
      </c>
      <c r="W30" s="181">
        <f t="shared" si="15"/>
        <v>0</v>
      </c>
      <c r="X30" s="181">
        <f t="shared" si="16"/>
        <v>0</v>
      </c>
      <c r="Y30" s="181">
        <f t="shared" si="17"/>
        <v>0</v>
      </c>
      <c r="Z30" s="182">
        <f t="shared" si="18"/>
        <v>0</v>
      </c>
      <c r="AA30" s="256"/>
      <c r="AB30" s="256"/>
      <c r="AC30" s="256"/>
      <c r="AD30" s="256"/>
      <c r="AE30" s="256"/>
      <c r="AF30" s="256"/>
      <c r="AG30" s="256"/>
      <c r="AH30" s="256"/>
      <c r="AI30" s="256"/>
      <c r="AJ30" s="256"/>
      <c r="AK30" s="256"/>
      <c r="AL30" s="256"/>
      <c r="AM30" s="256"/>
      <c r="AN30" s="256"/>
      <c r="AO30" s="256"/>
      <c r="AP30" s="256"/>
      <c r="AQ30" s="256"/>
      <c r="AR30" s="256"/>
    </row>
    <row r="31" spans="1:44" s="183" customFormat="1" x14ac:dyDescent="0.2">
      <c r="A31" s="174"/>
      <c r="B31" s="175" t="s">
        <v>115</v>
      </c>
      <c r="C31" s="175"/>
      <c r="D31" s="176">
        <v>0</v>
      </c>
      <c r="E31" s="177">
        <f>FACTORS!$I$2*D31</f>
        <v>0</v>
      </c>
      <c r="F31" s="178">
        <f t="shared" si="14"/>
        <v>0</v>
      </c>
      <c r="G31" s="176">
        <v>0</v>
      </c>
      <c r="H31" s="180">
        <v>0</v>
      </c>
      <c r="I31" s="184">
        <f>FACTORS!$C$17*D31/453.592</f>
        <v>0</v>
      </c>
      <c r="J31" s="181">
        <f>FACTORS!$D$17*D31/453.592</f>
        <v>0</v>
      </c>
      <c r="K31" s="246">
        <f>FACTORS!$E$17*D31/453.592</f>
        <v>0</v>
      </c>
      <c r="L31" s="181">
        <f>FACTORS!$F$17*D31/453.592</f>
        <v>0</v>
      </c>
      <c r="M31" s="181">
        <f>FACTORS!$G$17*D31/453.592</f>
        <v>0</v>
      </c>
      <c r="N31" s="178">
        <f>FACTORS!$H$17*D31/453.592</f>
        <v>0</v>
      </c>
      <c r="O31" s="181">
        <f>FACTORS!$I$17*D31/453.592</f>
        <v>0</v>
      </c>
      <c r="P31" s="181">
        <f>FACTORS!$J$17*D31/453.592</f>
        <v>0</v>
      </c>
      <c r="Q31" s="191">
        <f>FACTORS!$K$17*D31/453.592</f>
        <v>0</v>
      </c>
      <c r="R31" s="184">
        <f t="shared" si="15"/>
        <v>0</v>
      </c>
      <c r="S31" s="181">
        <f t="shared" si="15"/>
        <v>0</v>
      </c>
      <c r="T31" s="181">
        <f t="shared" si="15"/>
        <v>0</v>
      </c>
      <c r="U31" s="181">
        <f t="shared" si="15"/>
        <v>0</v>
      </c>
      <c r="V31" s="181">
        <f t="shared" si="15"/>
        <v>0</v>
      </c>
      <c r="W31" s="181">
        <f t="shared" si="15"/>
        <v>0</v>
      </c>
      <c r="X31" s="181">
        <f t="shared" si="16"/>
        <v>0</v>
      </c>
      <c r="Y31" s="181">
        <f t="shared" si="17"/>
        <v>0</v>
      </c>
      <c r="Z31" s="182">
        <f t="shared" si="18"/>
        <v>0</v>
      </c>
      <c r="AA31" s="256"/>
      <c r="AB31" s="256"/>
      <c r="AC31" s="256"/>
      <c r="AD31" s="256"/>
      <c r="AE31" s="256"/>
      <c r="AF31" s="256"/>
      <c r="AG31" s="256"/>
      <c r="AH31" s="256"/>
      <c r="AI31" s="256"/>
      <c r="AJ31" s="256"/>
      <c r="AK31" s="256"/>
      <c r="AL31" s="256"/>
      <c r="AM31" s="256"/>
      <c r="AN31" s="256"/>
      <c r="AO31" s="256"/>
      <c r="AP31" s="256"/>
      <c r="AQ31" s="256"/>
      <c r="AR31" s="256"/>
    </row>
    <row r="32" spans="1:44" s="183" customFormat="1" ht="12.75" customHeight="1" x14ac:dyDescent="0.2">
      <c r="A32" s="339" t="s">
        <v>64</v>
      </c>
      <c r="B32" s="340" t="s">
        <v>119</v>
      </c>
      <c r="C32" s="340"/>
      <c r="D32" s="341">
        <v>0</v>
      </c>
      <c r="E32" s="342">
        <f>FACTORS!$I$2*D32</f>
        <v>0</v>
      </c>
      <c r="F32" s="343">
        <f t="shared" si="14"/>
        <v>0</v>
      </c>
      <c r="G32" s="344">
        <v>0</v>
      </c>
      <c r="H32" s="345">
        <v>0</v>
      </c>
      <c r="I32" s="346">
        <f>FACTORS!$C$17*D32/453.592</f>
        <v>0</v>
      </c>
      <c r="J32" s="347">
        <f>FACTORS!$D$17*D32/453.592</f>
        <v>0</v>
      </c>
      <c r="K32" s="427">
        <f>FACTORS!$E$17*D32/453.592</f>
        <v>0</v>
      </c>
      <c r="L32" s="347">
        <f>FACTORS!$F$17*D32/453.592</f>
        <v>0</v>
      </c>
      <c r="M32" s="347">
        <f>FACTORS!$G$17*D32/453.592</f>
        <v>0</v>
      </c>
      <c r="N32" s="343">
        <f>FACTORS!$H$17*D32/453.592</f>
        <v>0</v>
      </c>
      <c r="O32" s="347">
        <f>FACTORS!$I$17*D32/453.592</f>
        <v>0</v>
      </c>
      <c r="P32" s="347">
        <f>FACTORS!$J$17*D32/453.592</f>
        <v>0</v>
      </c>
      <c r="Q32" s="348">
        <f>FACTORS!$K$17*D32/453.592</f>
        <v>0</v>
      </c>
      <c r="R32" s="346">
        <f t="shared" si="15"/>
        <v>0</v>
      </c>
      <c r="S32" s="347">
        <f t="shared" si="15"/>
        <v>0</v>
      </c>
      <c r="T32" s="347">
        <f>IF(K32=0,0,K32*($F32/($E32*24))*$G32*$H32/2000)</f>
        <v>0</v>
      </c>
      <c r="U32" s="347">
        <f t="shared" si="15"/>
        <v>0</v>
      </c>
      <c r="V32" s="347">
        <f t="shared" si="15"/>
        <v>0</v>
      </c>
      <c r="W32" s="347">
        <f t="shared" si="15"/>
        <v>0</v>
      </c>
      <c r="X32" s="347">
        <f t="shared" si="16"/>
        <v>0</v>
      </c>
      <c r="Y32" s="347">
        <f t="shared" si="17"/>
        <v>0</v>
      </c>
      <c r="Z32" s="349">
        <f t="shared" si="18"/>
        <v>0</v>
      </c>
      <c r="AA32" s="256"/>
      <c r="AB32" s="256"/>
      <c r="AC32" s="256"/>
      <c r="AD32" s="256"/>
      <c r="AE32" s="256"/>
      <c r="AF32" s="256"/>
      <c r="AG32" s="256"/>
      <c r="AH32" s="256"/>
      <c r="AI32" s="256"/>
      <c r="AJ32" s="256"/>
      <c r="AK32" s="256"/>
      <c r="AL32" s="256"/>
      <c r="AM32" s="256"/>
      <c r="AN32" s="256"/>
      <c r="AO32" s="256"/>
      <c r="AP32" s="256"/>
      <c r="AQ32" s="256"/>
      <c r="AR32" s="256"/>
    </row>
    <row r="33" spans="1:44" ht="27.75" customHeight="1" x14ac:dyDescent="0.2">
      <c r="A33" s="361" t="s">
        <v>184</v>
      </c>
      <c r="B33" s="363" t="s">
        <v>107</v>
      </c>
      <c r="C33" s="111"/>
      <c r="D33" s="122"/>
      <c r="E33" s="42" t="s">
        <v>53</v>
      </c>
      <c r="F33" s="43" t="s">
        <v>54</v>
      </c>
      <c r="G33" s="50"/>
      <c r="H33" s="119"/>
      <c r="I33" s="158"/>
      <c r="J33" s="387"/>
      <c r="K33" s="416"/>
      <c r="L33" s="153"/>
      <c r="M33" s="153"/>
      <c r="N33" s="73"/>
      <c r="O33" s="153"/>
      <c r="P33" s="153"/>
      <c r="Q33" s="120"/>
      <c r="R33" s="158"/>
      <c r="S33" s="387"/>
      <c r="T33" s="387"/>
      <c r="U33" s="153"/>
      <c r="V33" s="153"/>
      <c r="W33" s="153"/>
      <c r="X33" s="153"/>
      <c r="Y33" s="153"/>
      <c r="Z33" s="322"/>
    </row>
    <row r="34" spans="1:44" ht="12.75" customHeight="1" x14ac:dyDescent="0.2">
      <c r="A34" s="330"/>
      <c r="B34" s="364" t="s">
        <v>148</v>
      </c>
      <c r="C34" s="333"/>
      <c r="D34" s="334" t="s">
        <v>132</v>
      </c>
      <c r="E34" s="74"/>
      <c r="F34" s="74"/>
      <c r="G34" s="335"/>
      <c r="H34" s="336"/>
      <c r="I34" s="337"/>
      <c r="J34" s="423"/>
      <c r="K34" s="424"/>
      <c r="L34" s="68"/>
      <c r="M34" s="68"/>
      <c r="N34" s="329"/>
      <c r="O34" s="68"/>
      <c r="P34" s="68"/>
      <c r="Q34" s="338"/>
      <c r="R34" s="337"/>
      <c r="S34" s="423"/>
      <c r="T34" s="423"/>
      <c r="U34" s="68"/>
      <c r="V34" s="68"/>
      <c r="W34" s="68"/>
      <c r="X34" s="68"/>
      <c r="Y34" s="68"/>
      <c r="Z34" s="69"/>
    </row>
    <row r="35" spans="1:44" ht="12.75" customHeight="1" x14ac:dyDescent="0.2">
      <c r="A35" s="330"/>
      <c r="B35" s="363" t="s">
        <v>160</v>
      </c>
      <c r="C35" s="157"/>
      <c r="D35" s="122" t="s">
        <v>100</v>
      </c>
      <c r="E35" s="74"/>
      <c r="F35" s="74"/>
      <c r="G35" s="70" t="s">
        <v>60</v>
      </c>
      <c r="H35" s="119" t="s">
        <v>71</v>
      </c>
      <c r="I35" s="158"/>
      <c r="J35" s="387"/>
      <c r="K35" s="416"/>
      <c r="L35" s="153"/>
      <c r="M35" s="153"/>
      <c r="N35" s="73"/>
      <c r="O35" s="153"/>
      <c r="P35" s="153"/>
      <c r="Q35" s="120"/>
      <c r="R35" s="319"/>
      <c r="S35" s="423"/>
      <c r="T35" s="424"/>
      <c r="U35" s="68"/>
      <c r="V35" s="68"/>
      <c r="W35" s="68"/>
      <c r="X35" s="68"/>
      <c r="Y35" s="68"/>
      <c r="Z35" s="69"/>
    </row>
    <row r="36" spans="1:44" s="183" customFormat="1" ht="12.75" customHeight="1" x14ac:dyDescent="0.2">
      <c r="A36" s="174"/>
      <c r="B36" s="242" t="s">
        <v>153</v>
      </c>
      <c r="C36" s="323"/>
      <c r="D36" s="244"/>
      <c r="E36" s="176">
        <v>0</v>
      </c>
      <c r="F36" s="245">
        <f>E36*24</f>
        <v>0</v>
      </c>
      <c r="G36" s="176">
        <v>0</v>
      </c>
      <c r="H36" s="180">
        <v>0</v>
      </c>
      <c r="I36" s="184">
        <f>IFERROR(FACTORS!$C$34*E36,"--")</f>
        <v>0</v>
      </c>
      <c r="J36" s="181">
        <f>IFERROR(FACTORS!$D$34*E36,"--")</f>
        <v>0</v>
      </c>
      <c r="K36" s="246">
        <f>IFERROR(FACTORS!$E$34*E36,"--")</f>
        <v>0</v>
      </c>
      <c r="L36" s="178">
        <f>IFERROR(FACTORS!$F$34*E36,"--")</f>
        <v>0</v>
      </c>
      <c r="M36" s="178">
        <f>IFERROR(FACTORS!$G$34*E36,"--")</f>
        <v>0</v>
      </c>
      <c r="N36" s="178">
        <f>IFERROR(FACTORS!$H$34*E36,"--")</f>
        <v>0</v>
      </c>
      <c r="O36" s="181" t="str">
        <f>IFERROR(FACTORS!$I$34*E36,"--")</f>
        <v>--</v>
      </c>
      <c r="P36" s="181">
        <f>IFERROR(FACTORS!$J$34*E36,"--")</f>
        <v>0</v>
      </c>
      <c r="Q36" s="191">
        <f>IFERROR(FACTORS!$K$34*E36,"--")</f>
        <v>0</v>
      </c>
      <c r="R36" s="331">
        <f t="shared" ref="R36:S42" si="19">IFERROR((I36*$G36*$H36)/2000, "")</f>
        <v>0</v>
      </c>
      <c r="S36" s="332">
        <f>IFERROR((J36*$G36*$H36)/2000, "")</f>
        <v>0</v>
      </c>
      <c r="T36" s="317">
        <f t="shared" ref="T36:W43" si="20">IFERROR((K36*$G36*$H36)/2000, "")</f>
        <v>0</v>
      </c>
      <c r="U36" s="317">
        <f t="shared" si="20"/>
        <v>0</v>
      </c>
      <c r="V36" s="317">
        <f t="shared" si="20"/>
        <v>0</v>
      </c>
      <c r="W36" s="317">
        <f t="shared" si="20"/>
        <v>0</v>
      </c>
      <c r="X36" s="317" t="str">
        <f t="shared" ref="X36:X43" si="21">IFERROR((O36*$G36*$H36)/2000, "--")</f>
        <v>--</v>
      </c>
      <c r="Y36" s="317">
        <f t="shared" ref="Y36:Z43" si="22">IFERROR((P36*$G36*$H36)/2000, "")</f>
        <v>0</v>
      </c>
      <c r="Z36" s="318">
        <f t="shared" si="22"/>
        <v>0</v>
      </c>
      <c r="AA36" s="256"/>
      <c r="AB36" s="256"/>
      <c r="AC36" s="256"/>
      <c r="AD36" s="256"/>
      <c r="AE36" s="256"/>
      <c r="AF36" s="256"/>
      <c r="AG36" s="256"/>
      <c r="AH36" s="256"/>
      <c r="AI36" s="256"/>
      <c r="AJ36" s="256"/>
      <c r="AK36" s="256"/>
      <c r="AL36" s="256"/>
      <c r="AM36" s="256"/>
      <c r="AN36" s="256"/>
      <c r="AO36" s="256"/>
      <c r="AP36" s="256"/>
      <c r="AQ36" s="256"/>
      <c r="AR36" s="256"/>
    </row>
    <row r="37" spans="1:44" s="183" customFormat="1" ht="12.75" customHeight="1" x14ac:dyDescent="0.2">
      <c r="A37" s="174"/>
      <c r="B37" s="242" t="s">
        <v>87</v>
      </c>
      <c r="C37" s="243"/>
      <c r="D37" s="244"/>
      <c r="E37" s="176">
        <v>0</v>
      </c>
      <c r="F37" s="245">
        <f>E37*24</f>
        <v>0</v>
      </c>
      <c r="G37" s="176">
        <v>0</v>
      </c>
      <c r="H37" s="180">
        <v>0</v>
      </c>
      <c r="I37" s="184">
        <f>IFERROR(FACTORS!$C$35*E37,"--")</f>
        <v>0</v>
      </c>
      <c r="J37" s="181">
        <f>IFERROR(FACTORS!$D$35*E37,"--")</f>
        <v>0</v>
      </c>
      <c r="K37" s="246">
        <f>IFERROR(FACTORS!$E$35*E37,"--")</f>
        <v>0</v>
      </c>
      <c r="L37" s="178">
        <f>IFERROR(FACTORS!$F$35*E37,"--")</f>
        <v>0</v>
      </c>
      <c r="M37" s="178">
        <f>IFERROR(FACTORS!$G$35*E37,"--")</f>
        <v>0</v>
      </c>
      <c r="N37" s="178">
        <f>IFERROR(FACTORS!$H$35*E37,"--")</f>
        <v>0</v>
      </c>
      <c r="O37" s="181" t="str">
        <f>IFERROR(FACTORS!$I$35*E37,"--")</f>
        <v>--</v>
      </c>
      <c r="P37" s="181">
        <f>IFERROR(FACTORS!$J$35*E37,"--")</f>
        <v>0</v>
      </c>
      <c r="Q37" s="191">
        <f>IFERROR(FACTORS!$K$35*E37,"--")</f>
        <v>0</v>
      </c>
      <c r="R37" s="184">
        <f t="shared" si="19"/>
        <v>0</v>
      </c>
      <c r="S37" s="181">
        <f t="shared" si="19"/>
        <v>0</v>
      </c>
      <c r="T37" s="246">
        <f t="shared" si="20"/>
        <v>0</v>
      </c>
      <c r="U37" s="246">
        <f t="shared" si="20"/>
        <v>0</v>
      </c>
      <c r="V37" s="246">
        <f t="shared" si="20"/>
        <v>0</v>
      </c>
      <c r="W37" s="246">
        <f t="shared" si="20"/>
        <v>0</v>
      </c>
      <c r="X37" s="246" t="str">
        <f t="shared" si="21"/>
        <v>--</v>
      </c>
      <c r="Y37" s="246">
        <f t="shared" si="22"/>
        <v>0</v>
      </c>
      <c r="Z37" s="182">
        <f t="shared" si="22"/>
        <v>0</v>
      </c>
      <c r="AA37" s="256"/>
      <c r="AB37" s="256"/>
      <c r="AC37" s="256"/>
      <c r="AD37" s="256"/>
      <c r="AE37" s="256"/>
      <c r="AF37" s="256"/>
      <c r="AG37" s="256"/>
      <c r="AH37" s="256"/>
      <c r="AI37" s="256"/>
      <c r="AJ37" s="256"/>
      <c r="AK37" s="256"/>
      <c r="AL37" s="256"/>
      <c r="AM37" s="256"/>
      <c r="AN37" s="256"/>
      <c r="AO37" s="256"/>
      <c r="AP37" s="256"/>
      <c r="AQ37" s="256"/>
      <c r="AR37" s="256"/>
    </row>
    <row r="38" spans="1:44" s="183" customFormat="1" ht="12.75" customHeight="1" x14ac:dyDescent="0.2">
      <c r="A38" s="174"/>
      <c r="B38" s="242" t="s">
        <v>102</v>
      </c>
      <c r="C38" s="243"/>
      <c r="D38" s="244"/>
      <c r="E38" s="176">
        <v>0</v>
      </c>
      <c r="F38" s="245">
        <f t="shared" ref="F38:F41" si="23">E38*24</f>
        <v>0</v>
      </c>
      <c r="G38" s="176">
        <v>0</v>
      </c>
      <c r="H38" s="180">
        <v>0</v>
      </c>
      <c r="I38" s="184">
        <f>IFERROR(FACTORS!$C$36*E38,"--")</f>
        <v>0</v>
      </c>
      <c r="J38" s="181">
        <f>IFERROR(FACTORS!$D$36*E38,"--")</f>
        <v>0</v>
      </c>
      <c r="K38" s="246">
        <f>IFERROR(FACTORS!$E$36*E38,"--")</f>
        <v>0</v>
      </c>
      <c r="L38" s="178">
        <f>IFERROR(FACTORS!$F$36*E38,"--")</f>
        <v>0</v>
      </c>
      <c r="M38" s="178">
        <f>IFERROR(FACTORS!$G$36*E38,"--")</f>
        <v>0</v>
      </c>
      <c r="N38" s="178">
        <f>IFERROR(FACTORS!$H$36*E38,"--")</f>
        <v>0</v>
      </c>
      <c r="O38" s="181" t="str">
        <f>IFERROR(FACTORS!$I$36*E38,"--")</f>
        <v>--</v>
      </c>
      <c r="P38" s="181">
        <f>IFERROR(FACTORS!$J$36*E38,"--")</f>
        <v>0</v>
      </c>
      <c r="Q38" s="191">
        <f>IFERROR(FACTORS!$K$36*E38,"--")</f>
        <v>0</v>
      </c>
      <c r="R38" s="184">
        <f t="shared" si="19"/>
        <v>0</v>
      </c>
      <c r="S38" s="181">
        <f t="shared" si="19"/>
        <v>0</v>
      </c>
      <c r="T38" s="246">
        <f t="shared" si="20"/>
        <v>0</v>
      </c>
      <c r="U38" s="246">
        <f t="shared" si="20"/>
        <v>0</v>
      </c>
      <c r="V38" s="246">
        <f t="shared" si="20"/>
        <v>0</v>
      </c>
      <c r="W38" s="246">
        <f t="shared" si="20"/>
        <v>0</v>
      </c>
      <c r="X38" s="246" t="str">
        <f t="shared" si="21"/>
        <v>--</v>
      </c>
      <c r="Y38" s="246">
        <f t="shared" si="22"/>
        <v>0</v>
      </c>
      <c r="Z38" s="182">
        <f t="shared" si="22"/>
        <v>0</v>
      </c>
      <c r="AA38" s="256"/>
      <c r="AB38" s="256"/>
      <c r="AC38" s="256"/>
      <c r="AD38" s="256"/>
      <c r="AE38" s="256"/>
      <c r="AF38" s="256"/>
      <c r="AG38" s="256"/>
      <c r="AH38" s="256"/>
      <c r="AI38" s="256"/>
      <c r="AJ38" s="256"/>
      <c r="AK38" s="256"/>
      <c r="AL38" s="256"/>
      <c r="AM38" s="256"/>
      <c r="AN38" s="256"/>
      <c r="AO38" s="256"/>
      <c r="AP38" s="256"/>
      <c r="AQ38" s="256"/>
      <c r="AR38" s="256"/>
    </row>
    <row r="39" spans="1:44" s="183" customFormat="1" ht="12.75" customHeight="1" x14ac:dyDescent="0.2">
      <c r="A39" s="174"/>
      <c r="B39" s="242" t="s">
        <v>154</v>
      </c>
      <c r="C39" s="243"/>
      <c r="D39" s="244"/>
      <c r="E39" s="176">
        <v>0</v>
      </c>
      <c r="F39" s="245">
        <f t="shared" si="23"/>
        <v>0</v>
      </c>
      <c r="G39" s="176">
        <v>0</v>
      </c>
      <c r="H39" s="180">
        <v>0</v>
      </c>
      <c r="I39" s="184">
        <f>IFERROR(FACTORS!$C$37*E39,"--")</f>
        <v>0</v>
      </c>
      <c r="J39" s="181">
        <f>IFERROR(FACTORS!$D$37*E39,"--")</f>
        <v>0</v>
      </c>
      <c r="K39" s="246">
        <f>IFERROR(FACTORS!$E$37*E39,"--")</f>
        <v>0</v>
      </c>
      <c r="L39" s="178">
        <f>IFERROR(FACTORS!$F$37*E39,"--")</f>
        <v>0</v>
      </c>
      <c r="M39" s="178">
        <f>IFERROR(FACTORS!$G$37*E39,"--")</f>
        <v>0</v>
      </c>
      <c r="N39" s="178">
        <f>IFERROR(FACTORS!$H$37*E39,"--")</f>
        <v>0</v>
      </c>
      <c r="O39" s="181" t="str">
        <f>IFERROR(FACTORS!$I$37*E39,"--")</f>
        <v>--</v>
      </c>
      <c r="P39" s="181">
        <f>IFERROR(FACTORS!$J$37*E39,"--")</f>
        <v>0</v>
      </c>
      <c r="Q39" s="191">
        <f>IFERROR(FACTORS!$K$37*E39,"--")</f>
        <v>0</v>
      </c>
      <c r="R39" s="184">
        <f t="shared" si="19"/>
        <v>0</v>
      </c>
      <c r="S39" s="181">
        <f t="shared" si="19"/>
        <v>0</v>
      </c>
      <c r="T39" s="246">
        <f t="shared" si="20"/>
        <v>0</v>
      </c>
      <c r="U39" s="246">
        <f t="shared" si="20"/>
        <v>0</v>
      </c>
      <c r="V39" s="246">
        <f t="shared" si="20"/>
        <v>0</v>
      </c>
      <c r="W39" s="246">
        <f t="shared" si="20"/>
        <v>0</v>
      </c>
      <c r="X39" s="246" t="str">
        <f t="shared" si="21"/>
        <v>--</v>
      </c>
      <c r="Y39" s="246">
        <f t="shared" si="22"/>
        <v>0</v>
      </c>
      <c r="Z39" s="182">
        <f t="shared" si="22"/>
        <v>0</v>
      </c>
      <c r="AA39" s="256"/>
      <c r="AB39" s="256"/>
      <c r="AC39" s="256"/>
      <c r="AD39" s="256"/>
      <c r="AE39" s="256"/>
      <c r="AF39" s="256"/>
      <c r="AG39" s="256"/>
      <c r="AH39" s="256"/>
      <c r="AI39" s="256"/>
      <c r="AJ39" s="256"/>
      <c r="AK39" s="256"/>
      <c r="AL39" s="256"/>
      <c r="AM39" s="256"/>
      <c r="AN39" s="256"/>
      <c r="AO39" s="256"/>
      <c r="AP39" s="256"/>
      <c r="AQ39" s="256"/>
      <c r="AR39" s="256"/>
    </row>
    <row r="40" spans="1:44" s="183" customFormat="1" ht="12.75" customHeight="1" x14ac:dyDescent="0.2">
      <c r="A40" s="174"/>
      <c r="B40" s="242" t="s">
        <v>89</v>
      </c>
      <c r="C40" s="243"/>
      <c r="D40" s="244"/>
      <c r="E40" s="176">
        <v>0</v>
      </c>
      <c r="F40" s="245">
        <f t="shared" si="23"/>
        <v>0</v>
      </c>
      <c r="G40" s="176">
        <v>0</v>
      </c>
      <c r="H40" s="180">
        <v>0</v>
      </c>
      <c r="I40" s="184">
        <f>IFERROR(FACTORS!$C$38*E40,"--")</f>
        <v>0</v>
      </c>
      <c r="J40" s="181">
        <f>IFERROR(FACTORS!$D$38*E40,"--")</f>
        <v>0</v>
      </c>
      <c r="K40" s="246">
        <f>IFERROR(FACTORS!$E$38*E40,"--")</f>
        <v>0</v>
      </c>
      <c r="L40" s="178">
        <f>IFERROR(FACTORS!$F$38*E40,"--")</f>
        <v>0</v>
      </c>
      <c r="M40" s="178">
        <f>IFERROR(FACTORS!$G$38*E40,"--")</f>
        <v>0</v>
      </c>
      <c r="N40" s="178">
        <f>IFERROR(FACTORS!$H$38*E40,"--")</f>
        <v>0</v>
      </c>
      <c r="O40" s="181" t="str">
        <f>IFERROR(FACTORS!$I$38*E40,"--")</f>
        <v>--</v>
      </c>
      <c r="P40" s="181">
        <f>IFERROR(FACTORS!$J$38*E40,"--")</f>
        <v>0</v>
      </c>
      <c r="Q40" s="191">
        <f>IFERROR(FACTORS!$K$38*E40,"--")</f>
        <v>0</v>
      </c>
      <c r="R40" s="184">
        <f t="shared" si="19"/>
        <v>0</v>
      </c>
      <c r="S40" s="181">
        <f t="shared" si="19"/>
        <v>0</v>
      </c>
      <c r="T40" s="246">
        <f t="shared" si="20"/>
        <v>0</v>
      </c>
      <c r="U40" s="246">
        <f t="shared" si="20"/>
        <v>0</v>
      </c>
      <c r="V40" s="246">
        <f t="shared" si="20"/>
        <v>0</v>
      </c>
      <c r="W40" s="246">
        <f t="shared" si="20"/>
        <v>0</v>
      </c>
      <c r="X40" s="246" t="str">
        <f t="shared" si="21"/>
        <v>--</v>
      </c>
      <c r="Y40" s="246">
        <f t="shared" si="22"/>
        <v>0</v>
      </c>
      <c r="Z40" s="182">
        <f t="shared" si="22"/>
        <v>0</v>
      </c>
      <c r="AA40" s="256"/>
      <c r="AB40" s="256"/>
      <c r="AC40" s="256"/>
      <c r="AD40" s="256"/>
      <c r="AE40" s="256"/>
      <c r="AF40" s="256"/>
      <c r="AG40" s="256"/>
      <c r="AH40" s="256"/>
      <c r="AI40" s="256"/>
      <c r="AJ40" s="256"/>
      <c r="AK40" s="256"/>
      <c r="AL40" s="256"/>
      <c r="AM40" s="256"/>
      <c r="AN40" s="256"/>
      <c r="AO40" s="256"/>
      <c r="AP40" s="256"/>
      <c r="AQ40" s="256"/>
      <c r="AR40" s="256"/>
    </row>
    <row r="41" spans="1:44" s="183" customFormat="1" ht="12.75" customHeight="1" x14ac:dyDescent="0.2">
      <c r="A41" s="174"/>
      <c r="B41" s="242" t="s">
        <v>103</v>
      </c>
      <c r="C41" s="243"/>
      <c r="D41" s="244"/>
      <c r="E41" s="176">
        <v>0</v>
      </c>
      <c r="F41" s="245">
        <f t="shared" si="23"/>
        <v>0</v>
      </c>
      <c r="G41" s="176">
        <v>0</v>
      </c>
      <c r="H41" s="180">
        <v>0</v>
      </c>
      <c r="I41" s="184">
        <f>IFERROR(FACTORS!$C$39*E41,"--")</f>
        <v>0</v>
      </c>
      <c r="J41" s="181">
        <f>IFERROR(FACTORS!$D$39*E41,"--")</f>
        <v>0</v>
      </c>
      <c r="K41" s="246">
        <f>IFERROR(FACTORS!$E$39*E41,"--")</f>
        <v>0</v>
      </c>
      <c r="L41" s="178">
        <f>IFERROR(FACTORS!$F$39*E41,"--")</f>
        <v>0</v>
      </c>
      <c r="M41" s="178">
        <f>IFERROR(FACTORS!$G$39*E41,"--")</f>
        <v>0</v>
      </c>
      <c r="N41" s="178">
        <f>IFERROR(FACTORS!$H$39*E41,"--")</f>
        <v>0</v>
      </c>
      <c r="O41" s="181" t="str">
        <f>IFERROR(FACTORS!$I$39*E41,"--")</f>
        <v>--</v>
      </c>
      <c r="P41" s="181">
        <f>IFERROR(FACTORS!$J$39*E41,"--")</f>
        <v>0</v>
      </c>
      <c r="Q41" s="191">
        <f>IFERROR(FACTORS!$K$39*E41,"--")</f>
        <v>0</v>
      </c>
      <c r="R41" s="184">
        <f t="shared" si="19"/>
        <v>0</v>
      </c>
      <c r="S41" s="181">
        <f t="shared" si="19"/>
        <v>0</v>
      </c>
      <c r="T41" s="246">
        <f t="shared" si="20"/>
        <v>0</v>
      </c>
      <c r="U41" s="246">
        <f t="shared" si="20"/>
        <v>0</v>
      </c>
      <c r="V41" s="246">
        <f t="shared" si="20"/>
        <v>0</v>
      </c>
      <c r="W41" s="246">
        <f t="shared" si="20"/>
        <v>0</v>
      </c>
      <c r="X41" s="246" t="str">
        <f t="shared" si="21"/>
        <v>--</v>
      </c>
      <c r="Y41" s="246">
        <f t="shared" si="22"/>
        <v>0</v>
      </c>
      <c r="Z41" s="182">
        <f t="shared" si="22"/>
        <v>0</v>
      </c>
      <c r="AA41" s="256"/>
      <c r="AB41" s="256"/>
      <c r="AC41" s="256"/>
      <c r="AD41" s="256"/>
      <c r="AE41" s="256"/>
      <c r="AF41" s="256"/>
      <c r="AG41" s="256"/>
      <c r="AH41" s="256"/>
      <c r="AI41" s="256"/>
      <c r="AJ41" s="256"/>
      <c r="AK41" s="256"/>
      <c r="AL41" s="256"/>
      <c r="AM41" s="256"/>
      <c r="AN41" s="256"/>
      <c r="AO41" s="256"/>
      <c r="AP41" s="256"/>
      <c r="AQ41" s="256"/>
      <c r="AR41" s="256"/>
    </row>
    <row r="42" spans="1:44" s="183" customFormat="1" ht="12.75" customHeight="1" x14ac:dyDescent="0.2">
      <c r="A42" s="174"/>
      <c r="B42" s="242" t="s">
        <v>91</v>
      </c>
      <c r="C42" s="243"/>
      <c r="D42" s="176">
        <v>0</v>
      </c>
      <c r="E42" s="74"/>
      <c r="F42" s="74"/>
      <c r="G42" s="179">
        <v>0</v>
      </c>
      <c r="H42" s="180">
        <v>0</v>
      </c>
      <c r="I42" s="184">
        <f>(FACTORS!$C$40*D42*2000)/24</f>
        <v>0</v>
      </c>
      <c r="J42" s="181">
        <f>(FACTORS!$D$40*D42*2000)/24</f>
        <v>0</v>
      </c>
      <c r="K42" s="246">
        <f>(FACTORS!$E$40*D42*2000)/24</f>
        <v>0</v>
      </c>
      <c r="L42" s="178">
        <f>(FACTORS!$F$40*D42*2000)/24</f>
        <v>0</v>
      </c>
      <c r="M42" s="178">
        <f>(FACTORS!$G$40*D42*2000)/24</f>
        <v>0</v>
      </c>
      <c r="N42" s="178">
        <f>(FACTORS!$H$40*D42*2000)/24</f>
        <v>0</v>
      </c>
      <c r="O42" s="181" t="str">
        <f>IFERROR((FACTORS!$I$40*D42*2000)/24,"--")</f>
        <v>--</v>
      </c>
      <c r="P42" s="181">
        <f>IFERROR((FACTORS!$J$40*D42*2000)/24,"--")</f>
        <v>0</v>
      </c>
      <c r="Q42" s="191" t="str">
        <f>IFERROR((FACTORS!$K$40*D42*2000)/24,"--")</f>
        <v>--</v>
      </c>
      <c r="R42" s="184">
        <f t="shared" si="19"/>
        <v>0</v>
      </c>
      <c r="S42" s="181">
        <f t="shared" si="19"/>
        <v>0</v>
      </c>
      <c r="T42" s="246">
        <f t="shared" si="20"/>
        <v>0</v>
      </c>
      <c r="U42" s="246">
        <f t="shared" si="20"/>
        <v>0</v>
      </c>
      <c r="V42" s="246">
        <f t="shared" si="20"/>
        <v>0</v>
      </c>
      <c r="W42" s="246">
        <f t="shared" si="20"/>
        <v>0</v>
      </c>
      <c r="X42" s="246" t="str">
        <f t="shared" si="21"/>
        <v>--</v>
      </c>
      <c r="Y42" s="246">
        <f t="shared" si="22"/>
        <v>0</v>
      </c>
      <c r="Z42" s="182" t="str">
        <f t="shared" si="22"/>
        <v/>
      </c>
      <c r="AA42" s="256"/>
      <c r="AB42" s="256"/>
      <c r="AC42" s="256"/>
      <c r="AD42" s="256"/>
      <c r="AE42" s="256"/>
      <c r="AF42" s="256"/>
      <c r="AG42" s="256"/>
      <c r="AH42" s="256"/>
      <c r="AI42" s="256"/>
      <c r="AJ42" s="256"/>
      <c r="AK42" s="256"/>
      <c r="AL42" s="256"/>
      <c r="AM42" s="256"/>
      <c r="AN42" s="256"/>
      <c r="AO42" s="256"/>
      <c r="AP42" s="256"/>
      <c r="AQ42" s="256"/>
      <c r="AR42" s="256"/>
    </row>
    <row r="43" spans="1:44" s="183" customFormat="1" ht="12.75" customHeight="1" x14ac:dyDescent="0.2">
      <c r="A43" s="174"/>
      <c r="B43" s="274" t="s">
        <v>133</v>
      </c>
      <c r="C43" s="242"/>
      <c r="D43" s="185">
        <v>0</v>
      </c>
      <c r="E43" s="74"/>
      <c r="F43" s="74"/>
      <c r="G43" s="185">
        <v>0</v>
      </c>
      <c r="H43" s="186">
        <v>0</v>
      </c>
      <c r="I43" s="187">
        <f>FACTORS!$C$42*D43/453.592</f>
        <v>0</v>
      </c>
      <c r="J43" s="192">
        <f>FACTORS!$D$42*D43/453.592</f>
        <v>0</v>
      </c>
      <c r="K43" s="189">
        <f>FACTORS!$E$42*D43/453.592</f>
        <v>0</v>
      </c>
      <c r="L43" s="192">
        <f>FACTORS!$F$42*D43/453.592</f>
        <v>0</v>
      </c>
      <c r="M43" s="192">
        <f>FACTORS!$G$42*D43/453.592</f>
        <v>0</v>
      </c>
      <c r="N43" s="188">
        <f>FACTORS!$H$42*D43/453.592</f>
        <v>0</v>
      </c>
      <c r="O43" s="192">
        <f>IFERROR(FACTORS!$I$42*D43/453.592, "--")</f>
        <v>0</v>
      </c>
      <c r="P43" s="192">
        <f>FACTORS!$J$42*D43/453.592</f>
        <v>0</v>
      </c>
      <c r="Q43" s="193">
        <f>FACTORS!$K$42*D43/453.592</f>
        <v>0</v>
      </c>
      <c r="R43" s="187">
        <f>IFERROR((I43*$G43*$H43)/2000, "")</f>
        <v>0</v>
      </c>
      <c r="S43" s="192">
        <f>IFERROR((J43*$G43*$H43)/2000, "")</f>
        <v>0</v>
      </c>
      <c r="T43" s="189">
        <f>IFERROR((K43*$G43*$H43)/2000, "")</f>
        <v>0</v>
      </c>
      <c r="U43" s="189">
        <f t="shared" si="20"/>
        <v>0</v>
      </c>
      <c r="V43" s="189">
        <f t="shared" si="20"/>
        <v>0</v>
      </c>
      <c r="W43" s="189">
        <f t="shared" si="20"/>
        <v>0</v>
      </c>
      <c r="X43" s="189">
        <f t="shared" si="21"/>
        <v>0</v>
      </c>
      <c r="Y43" s="189">
        <f t="shared" si="22"/>
        <v>0</v>
      </c>
      <c r="Z43" s="190">
        <f t="shared" si="22"/>
        <v>0</v>
      </c>
      <c r="AA43" s="256"/>
      <c r="AB43" s="256"/>
      <c r="AC43" s="256"/>
      <c r="AD43" s="256"/>
      <c r="AE43" s="256"/>
      <c r="AF43" s="256"/>
      <c r="AG43" s="256"/>
      <c r="AH43" s="256"/>
      <c r="AI43" s="256"/>
      <c r="AJ43" s="256"/>
      <c r="AK43" s="256"/>
      <c r="AL43" s="256"/>
      <c r="AM43" s="256"/>
      <c r="AN43" s="256"/>
      <c r="AO43" s="256"/>
      <c r="AP43" s="256"/>
      <c r="AQ43" s="256"/>
      <c r="AR43" s="256"/>
    </row>
    <row r="44" spans="1:44" s="247" customFormat="1" ht="12.75" customHeight="1" x14ac:dyDescent="0.2">
      <c r="A44" s="286">
        <f>A23</f>
        <v>2023</v>
      </c>
      <c r="B44" s="287" t="s">
        <v>124</v>
      </c>
      <c r="C44" s="431"/>
      <c r="D44" s="281"/>
      <c r="E44" s="281"/>
      <c r="F44" s="282"/>
      <c r="G44" s="281"/>
      <c r="H44" s="283"/>
      <c r="I44" s="380">
        <f t="shared" ref="I44:Z44" si="24">SUM(I26:I43)</f>
        <v>0</v>
      </c>
      <c r="J44" s="428">
        <f t="shared" si="24"/>
        <v>0</v>
      </c>
      <c r="K44" s="429">
        <f t="shared" si="24"/>
        <v>0</v>
      </c>
      <c r="L44" s="284">
        <f t="shared" si="24"/>
        <v>0</v>
      </c>
      <c r="M44" s="284">
        <f t="shared" si="24"/>
        <v>0</v>
      </c>
      <c r="N44" s="284">
        <f t="shared" si="24"/>
        <v>0</v>
      </c>
      <c r="O44" s="284">
        <f t="shared" si="24"/>
        <v>0</v>
      </c>
      <c r="P44" s="284">
        <f t="shared" si="24"/>
        <v>0</v>
      </c>
      <c r="Q44" s="290">
        <f t="shared" si="24"/>
        <v>0</v>
      </c>
      <c r="R44" s="383">
        <f t="shared" si="24"/>
        <v>0</v>
      </c>
      <c r="S44" s="291">
        <f t="shared" si="24"/>
        <v>0</v>
      </c>
      <c r="T44" s="430">
        <f t="shared" si="24"/>
        <v>0</v>
      </c>
      <c r="U44" s="291">
        <f t="shared" si="24"/>
        <v>0</v>
      </c>
      <c r="V44" s="291">
        <f t="shared" si="24"/>
        <v>0</v>
      </c>
      <c r="W44" s="291">
        <f t="shared" si="24"/>
        <v>0</v>
      </c>
      <c r="X44" s="291">
        <f t="shared" si="24"/>
        <v>0</v>
      </c>
      <c r="Y44" s="291">
        <f t="shared" si="24"/>
        <v>0</v>
      </c>
      <c r="Z44" s="292">
        <f t="shared" si="24"/>
        <v>0</v>
      </c>
      <c r="AA44" s="256"/>
      <c r="AB44" s="256"/>
      <c r="AC44" s="256"/>
      <c r="AD44" s="256"/>
      <c r="AE44" s="256"/>
      <c r="AF44" s="256"/>
      <c r="AG44" s="256"/>
      <c r="AH44" s="256"/>
      <c r="AI44" s="256"/>
      <c r="AJ44" s="256"/>
      <c r="AK44" s="256"/>
      <c r="AL44" s="256"/>
      <c r="AM44" s="256"/>
      <c r="AN44" s="256"/>
      <c r="AO44" s="256"/>
      <c r="AP44" s="256"/>
      <c r="AQ44" s="256"/>
      <c r="AR44" s="256"/>
    </row>
    <row r="45" spans="1:44" ht="12.75" customHeight="1" x14ac:dyDescent="0.2">
      <c r="A45" s="77"/>
      <c r="B45" s="13"/>
      <c r="C45" s="13"/>
    </row>
    <row r="46" spans="1:44" ht="12.75" customHeight="1" x14ac:dyDescent="0.2">
      <c r="A46" s="77"/>
      <c r="B46" s="13"/>
      <c r="C46" s="13"/>
    </row>
    <row r="47" spans="1:44" ht="12.75" customHeight="1" x14ac:dyDescent="0.2">
      <c r="A47" s="77"/>
      <c r="B47" s="13"/>
      <c r="C47" s="13"/>
    </row>
    <row r="48" spans="1:44" ht="12.75" customHeight="1" x14ac:dyDescent="0.2">
      <c r="A48" s="2"/>
      <c r="B48" s="2"/>
      <c r="C48" s="2"/>
      <c r="D48" s="2"/>
      <c r="E48" s="2"/>
      <c r="F48" s="2"/>
      <c r="G48" s="2"/>
      <c r="H48" s="2"/>
      <c r="I48" s="2"/>
      <c r="J48" s="2"/>
      <c r="K48" s="2"/>
      <c r="L48" s="2"/>
      <c r="M48" s="2"/>
      <c r="N48" s="2"/>
      <c r="O48" s="2"/>
      <c r="P48" s="2"/>
      <c r="Q48" s="2"/>
      <c r="R48" s="2"/>
      <c r="S48" s="2"/>
      <c r="T48" s="2"/>
      <c r="U48" s="2"/>
      <c r="V48" s="2"/>
      <c r="W48" s="2"/>
      <c r="X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0"/>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16"/>
      <c r="Z52" s="20"/>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16"/>
      <c r="Z53" s="20"/>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16"/>
      <c r="Z54" s="19"/>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17"/>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13"/>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13"/>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13"/>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13"/>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13"/>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13"/>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13"/>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13"/>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13"/>
    </row>
    <row r="65" spans="1:25"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13"/>
    </row>
    <row r="66" spans="1:25"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13"/>
    </row>
    <row r="67" spans="1:25"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13"/>
    </row>
    <row r="68" spans="1:25"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13"/>
    </row>
    <row r="69" spans="1:25"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13"/>
    </row>
    <row r="70" spans="1:25"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13"/>
    </row>
    <row r="71" spans="1:25"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13"/>
    </row>
    <row r="72" spans="1:25"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18"/>
    </row>
    <row r="73" spans="1:25"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18"/>
    </row>
    <row r="74" spans="1:25"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18"/>
    </row>
    <row r="75" spans="1:25"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18"/>
    </row>
    <row r="76" spans="1:25"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13"/>
    </row>
    <row r="77" spans="1:25"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13"/>
    </row>
    <row r="78" spans="1:25"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13"/>
    </row>
    <row r="79" spans="1:25"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13"/>
    </row>
    <row r="80" spans="1:25"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13"/>
    </row>
    <row r="81" spans="1:25"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3"/>
    </row>
    <row r="82" spans="1:25"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row>
    <row r="83" spans="1:25"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row>
    <row r="84" spans="1:25"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row>
    <row r="85" spans="1:25"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row>
    <row r="86" spans="1:25"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row>
    <row r="87" spans="1:25"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row>
    <row r="88" spans="1:25"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row>
    <row r="89" spans="1:25"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row>
    <row r="90" spans="1:25"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row>
    <row r="91" spans="1:25"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row>
    <row r="92" spans="1:25"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row>
    <row r="93" spans="1:25"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row>
    <row r="94" spans="1:25"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row>
    <row r="95" spans="1:25"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row>
    <row r="96" spans="1:25"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18"/>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13"/>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13"/>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13"/>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13"/>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13"/>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13"/>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13"/>
    </row>
    <row r="128" spans="1:25" ht="12.75" customHeight="1" x14ac:dyDescent="0.2">
      <c r="Y128" s="13"/>
    </row>
    <row r="129" spans="25:26" ht="12.75" customHeight="1" x14ac:dyDescent="0.2">
      <c r="Y129" s="18"/>
      <c r="Z129" s="19"/>
    </row>
    <row r="130" spans="25:26" ht="12.75" customHeight="1" x14ac:dyDescent="0.2">
      <c r="Y130" s="21"/>
    </row>
    <row r="131" spans="25:26" ht="12.75" customHeight="1" x14ac:dyDescent="0.2">
      <c r="Y131" s="18"/>
    </row>
    <row r="132" spans="25:26" ht="12.75" customHeight="1" x14ac:dyDescent="0.2">
      <c r="Y132" s="13"/>
      <c r="Z132" s="19"/>
    </row>
    <row r="133" spans="25:26" ht="12.75" customHeight="1" x14ac:dyDescent="0.2">
      <c r="Y133" s="22"/>
    </row>
    <row r="141" spans="25:26" ht="12.75" customHeight="1" x14ac:dyDescent="0.2">
      <c r="Z141" s="20"/>
    </row>
    <row r="142" spans="25:26" ht="12.75" customHeight="1" x14ac:dyDescent="0.2">
      <c r="Y142" s="16"/>
      <c r="Z142" s="20"/>
    </row>
    <row r="143" spans="25:26" ht="12.75" customHeight="1" x14ac:dyDescent="0.2">
      <c r="Y143" s="16"/>
      <c r="Z143" s="20"/>
    </row>
    <row r="144" spans="25:26" ht="12.75" customHeight="1" x14ac:dyDescent="0.2">
      <c r="Y144" s="16"/>
      <c r="Z144" s="19"/>
    </row>
    <row r="145" spans="25:25" ht="12.75" customHeight="1" x14ac:dyDescent="0.2">
      <c r="Y145" s="17"/>
    </row>
    <row r="146" spans="25:25" ht="12.75" customHeight="1" x14ac:dyDescent="0.2">
      <c r="Y146" s="13"/>
    </row>
    <row r="147" spans="25:25" ht="12.75" customHeight="1" x14ac:dyDescent="0.2">
      <c r="Y147" s="13"/>
    </row>
    <row r="148" spans="25:25" ht="12.75" customHeight="1" x14ac:dyDescent="0.2">
      <c r="Y148" s="13"/>
    </row>
    <row r="149" spans="25:25" ht="12.75" customHeight="1" x14ac:dyDescent="0.2">
      <c r="Y149" s="13"/>
    </row>
    <row r="150" spans="25:25" ht="12.75" customHeight="1" x14ac:dyDescent="0.2">
      <c r="Y150" s="13"/>
    </row>
    <row r="151" spans="25:25" ht="12.75" customHeight="1" x14ac:dyDescent="0.2">
      <c r="Y151" s="13"/>
    </row>
    <row r="152" spans="25:25" ht="12.75" customHeight="1" x14ac:dyDescent="0.2">
      <c r="Y152" s="13"/>
    </row>
    <row r="153" spans="25:25" ht="12.75" customHeight="1" x14ac:dyDescent="0.2">
      <c r="Y153" s="13"/>
    </row>
    <row r="154" spans="25:25" ht="12.75" customHeight="1" x14ac:dyDescent="0.2">
      <c r="Y154" s="13"/>
    </row>
    <row r="155" spans="25:25" ht="12.75" customHeight="1" x14ac:dyDescent="0.2">
      <c r="Y155" s="13"/>
    </row>
    <row r="156" spans="25:25" ht="12.75" customHeight="1" x14ac:dyDescent="0.2">
      <c r="Y156" s="13"/>
    </row>
    <row r="157" spans="25:25" ht="12.75" customHeight="1" x14ac:dyDescent="0.2">
      <c r="Y157" s="13"/>
    </row>
    <row r="158" spans="25:25" ht="12.75" customHeight="1" x14ac:dyDescent="0.2">
      <c r="Y158" s="13"/>
    </row>
    <row r="159" spans="25:25" ht="12.75" customHeight="1" x14ac:dyDescent="0.2">
      <c r="Y159" s="13"/>
    </row>
    <row r="160" spans="25:25" ht="12.75" customHeight="1" x14ac:dyDescent="0.2">
      <c r="Y160" s="13"/>
    </row>
    <row r="161" spans="25:26" ht="12.75" customHeight="1" x14ac:dyDescent="0.2">
      <c r="Y161" s="13"/>
    </row>
    <row r="162" spans="25:26" ht="12.75" customHeight="1" x14ac:dyDescent="0.2">
      <c r="Y162" s="18"/>
    </row>
    <row r="163" spans="25:26" ht="12.75" customHeight="1" x14ac:dyDescent="0.2">
      <c r="Y163" s="18"/>
    </row>
    <row r="164" spans="25:26" ht="12.75" customHeight="1" x14ac:dyDescent="0.2">
      <c r="Y164" s="18"/>
    </row>
    <row r="165" spans="25:26" ht="12.75" customHeight="1" x14ac:dyDescent="0.2">
      <c r="Y165" s="18"/>
    </row>
    <row r="166" spans="25:26" ht="12.75" customHeight="1" x14ac:dyDescent="0.2">
      <c r="Y166" s="13"/>
    </row>
    <row r="167" spans="25:26" ht="12.75" customHeight="1" x14ac:dyDescent="0.2">
      <c r="Y167" s="13"/>
    </row>
    <row r="168" spans="25:26" ht="12.75" customHeight="1" x14ac:dyDescent="0.2">
      <c r="Y168" s="13"/>
    </row>
    <row r="169" spans="25:26" ht="12.75" customHeight="1" x14ac:dyDescent="0.2">
      <c r="Y169" s="13"/>
    </row>
    <row r="170" spans="25:26" ht="12.75" customHeight="1" x14ac:dyDescent="0.2">
      <c r="Y170" s="13"/>
    </row>
    <row r="171" spans="25:26" ht="12.75" customHeight="1" x14ac:dyDescent="0.2">
      <c r="Y171" s="13"/>
    </row>
    <row r="172" spans="25:26" ht="12.75" customHeight="1" x14ac:dyDescent="0.2">
      <c r="Y172" s="13"/>
    </row>
    <row r="173" spans="25:26" ht="12.75" customHeight="1" x14ac:dyDescent="0.2">
      <c r="Y173" s="13"/>
    </row>
    <row r="174" spans="25:26" ht="12.75" customHeight="1" x14ac:dyDescent="0.2">
      <c r="Y174" s="18"/>
      <c r="Z174" s="19"/>
    </row>
    <row r="175" spans="25:26" ht="12.75" customHeight="1" x14ac:dyDescent="0.2">
      <c r="Y175" s="21"/>
    </row>
    <row r="176" spans="25:26" ht="12.75" customHeight="1" x14ac:dyDescent="0.2">
      <c r="Y176" s="18"/>
    </row>
    <row r="177" spans="25:26" ht="12.75" customHeight="1" x14ac:dyDescent="0.2">
      <c r="Y177" s="13"/>
      <c r="Z177" s="19"/>
    </row>
    <row r="178" spans="25:26" ht="12.75" customHeight="1" x14ac:dyDescent="0.2">
      <c r="Y178"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- 4TH YEAR</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27EE1-B73F-4679-A2D2-E2C80FF45FED}">
  <sheetPr codeName="Sheet8">
    <pageSetUpPr fitToPage="1"/>
  </sheetPr>
  <dimension ref="A1:AR178"/>
  <sheetViews>
    <sheetView view="pageLayout" topLeftCell="A2" zoomScale="70" zoomScaleNormal="100" zoomScalePageLayoutView="70" workbookViewId="0">
      <selection activeCell="D15" sqref="D15"/>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56"/>
    <col min="45" max="16384" width="9.7109375" style="2"/>
  </cols>
  <sheetData>
    <row r="1" spans="1:44" ht="12.75" customHeight="1" thickBot="1" x14ac:dyDescent="0.25">
      <c r="A1" s="23" t="s">
        <v>1</v>
      </c>
      <c r="B1" s="23" t="s">
        <v>2</v>
      </c>
      <c r="C1" s="23"/>
      <c r="D1" s="23" t="s">
        <v>3</v>
      </c>
      <c r="E1" s="23" t="s">
        <v>5</v>
      </c>
      <c r="F1" s="24" t="s">
        <v>63</v>
      </c>
      <c r="G1" s="23" t="s">
        <v>7</v>
      </c>
      <c r="H1" s="25"/>
      <c r="I1" s="26"/>
      <c r="J1" s="26"/>
      <c r="K1" s="26"/>
      <c r="L1" s="27" t="s">
        <v>81</v>
      </c>
      <c r="M1" s="28" t="s">
        <v>0</v>
      </c>
      <c r="N1" s="26" t="s">
        <v>42</v>
      </c>
      <c r="O1" s="29"/>
      <c r="P1" s="29" t="s">
        <v>11</v>
      </c>
      <c r="Q1" s="29"/>
      <c r="R1" s="30"/>
      <c r="S1" s="30"/>
      <c r="T1" s="30"/>
      <c r="U1" s="30"/>
      <c r="V1" s="30"/>
      <c r="W1" s="30"/>
      <c r="X1" s="30"/>
      <c r="Y1" s="30"/>
      <c r="Z1" s="101"/>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373"/>
      <c r="K2" s="373"/>
      <c r="L2" s="473" t="str">
        <f>TITLE!$C$7</f>
        <v xml:space="preserve">  </v>
      </c>
      <c r="M2" s="476"/>
      <c r="N2" s="473" t="str">
        <f>TITLE!$C$8</f>
        <v xml:space="preserve"> </v>
      </c>
      <c r="O2" s="476"/>
      <c r="P2" s="473" t="str">
        <f>TITLE!C9</f>
        <v xml:space="preserve"> </v>
      </c>
      <c r="Q2" s="474"/>
      <c r="R2" s="474"/>
      <c r="S2" s="474"/>
      <c r="T2" s="474"/>
      <c r="U2" s="474"/>
      <c r="V2" s="474"/>
      <c r="W2" s="474"/>
      <c r="X2" s="474"/>
      <c r="Y2" s="474"/>
      <c r="Z2" s="475"/>
    </row>
    <row r="3" spans="1:44" ht="12.75" customHeight="1" thickTop="1" x14ac:dyDescent="0.2">
      <c r="A3" s="33" t="s">
        <v>43</v>
      </c>
      <c r="B3" s="34" t="s">
        <v>44</v>
      </c>
      <c r="C3" s="34" t="s">
        <v>101</v>
      </c>
      <c r="D3" s="34" t="s">
        <v>45</v>
      </c>
      <c r="E3" s="34" t="s">
        <v>46</v>
      </c>
      <c r="F3" s="35" t="s">
        <v>47</v>
      </c>
      <c r="G3" s="36" t="s">
        <v>48</v>
      </c>
      <c r="H3" s="37"/>
      <c r="I3" s="38"/>
      <c r="J3" s="38"/>
      <c r="K3" s="38"/>
      <c r="L3" s="38"/>
      <c r="M3" s="38" t="s">
        <v>49</v>
      </c>
      <c r="N3" s="38"/>
      <c r="O3" s="38"/>
      <c r="P3" s="38"/>
      <c r="Q3" s="39"/>
      <c r="R3" s="40"/>
      <c r="S3" s="40"/>
      <c r="T3" s="40"/>
      <c r="U3" s="40"/>
      <c r="V3" s="38" t="s">
        <v>50</v>
      </c>
      <c r="W3" s="40"/>
      <c r="X3" s="40"/>
      <c r="Y3" s="40"/>
      <c r="Z3" s="100"/>
    </row>
    <row r="4" spans="1:44" ht="12.75" customHeight="1" x14ac:dyDescent="0.2">
      <c r="A4" s="41"/>
      <c r="B4" s="42" t="s">
        <v>51</v>
      </c>
      <c r="C4" s="42"/>
      <c r="D4" s="42" t="s">
        <v>52</v>
      </c>
      <c r="E4" s="42" t="s">
        <v>53</v>
      </c>
      <c r="F4" s="43" t="s">
        <v>54</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77" t="s">
        <v>55</v>
      </c>
      <c r="C5" s="277"/>
      <c r="D5" s="50" t="s">
        <v>52</v>
      </c>
      <c r="E5" s="50" t="s">
        <v>56</v>
      </c>
      <c r="F5" s="51" t="s">
        <v>57</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78" t="s">
        <v>58</v>
      </c>
      <c r="C6" s="278"/>
      <c r="D6" s="168" t="s">
        <v>59</v>
      </c>
      <c r="E6" s="42" t="s">
        <v>56</v>
      </c>
      <c r="F6" s="43" t="s">
        <v>57</v>
      </c>
      <c r="G6" s="169" t="s">
        <v>60</v>
      </c>
      <c r="H6" s="170" t="s">
        <v>71</v>
      </c>
      <c r="I6" s="396" t="s">
        <v>199</v>
      </c>
      <c r="J6" s="397" t="s">
        <v>197</v>
      </c>
      <c r="K6" s="398" t="s">
        <v>198</v>
      </c>
      <c r="L6" s="399" t="s">
        <v>23</v>
      </c>
      <c r="M6" s="399" t="s">
        <v>24</v>
      </c>
      <c r="N6" s="399" t="s">
        <v>25</v>
      </c>
      <c r="O6" s="397" t="s">
        <v>72</v>
      </c>
      <c r="P6" s="397" t="s">
        <v>26</v>
      </c>
      <c r="Q6" s="400" t="s">
        <v>80</v>
      </c>
      <c r="R6" s="401" t="s">
        <v>199</v>
      </c>
      <c r="S6" s="402" t="s">
        <v>197</v>
      </c>
      <c r="T6" s="403" t="s">
        <v>198</v>
      </c>
      <c r="U6" s="403" t="s">
        <v>23</v>
      </c>
      <c r="V6" s="171" t="s">
        <v>24</v>
      </c>
      <c r="W6" s="171" t="s">
        <v>25</v>
      </c>
      <c r="X6" s="46" t="s">
        <v>72</v>
      </c>
      <c r="Y6" s="46" t="s">
        <v>26</v>
      </c>
      <c r="Z6" s="172" t="s">
        <v>80</v>
      </c>
    </row>
    <row r="7" spans="1:44" s="173" customFormat="1" ht="12.75" customHeight="1" thickTop="1" x14ac:dyDescent="0.2">
      <c r="A7" s="194" t="s">
        <v>61</v>
      </c>
      <c r="B7" s="279" t="s">
        <v>165</v>
      </c>
      <c r="C7" s="293"/>
      <c r="D7" s="195">
        <v>0</v>
      </c>
      <c r="E7" s="196">
        <f>FACTORS!$I$2*D7</f>
        <v>0</v>
      </c>
      <c r="F7" s="197">
        <f>E7*24</f>
        <v>0</v>
      </c>
      <c r="G7" s="198">
        <v>0</v>
      </c>
      <c r="H7" s="199">
        <v>0</v>
      </c>
      <c r="I7" s="377">
        <f>FACTORS!$C$17*D7/453.592</f>
        <v>0</v>
      </c>
      <c r="J7" s="404">
        <f>FACTORS!$D$17*D7/453.592</f>
        <v>0</v>
      </c>
      <c r="K7" s="405">
        <f>FACTORS!$E$17*D7/453.592</f>
        <v>0</v>
      </c>
      <c r="L7" s="202">
        <f>FACTORS!$F$17*D7/453.592</f>
        <v>0</v>
      </c>
      <c r="M7" s="202">
        <f>FACTORS!$G$17*D7/453.592</f>
        <v>0</v>
      </c>
      <c r="N7" s="201">
        <f>FACTORS!$H$17*D7/453.592</f>
        <v>0</v>
      </c>
      <c r="O7" s="203">
        <f>FACTORS!$I$17*D7/453.592</f>
        <v>0</v>
      </c>
      <c r="P7" s="203">
        <f>FACTORS!$J$17*D7/453.592</f>
        <v>0</v>
      </c>
      <c r="Q7" s="204">
        <f>IFERROR(FACTORS!$K$17*D7/453.592,"--")</f>
        <v>0</v>
      </c>
      <c r="R7" s="381">
        <f>IF(I7=0,0,I7*($F7/($E7*24))*$G7*$H7/2000)</f>
        <v>0</v>
      </c>
      <c r="S7" s="203">
        <f t="shared" ref="S7:T10" si="0">IF(J7=0,0,J7*($F7/($E7*24))*$G7*$H7/2000)</f>
        <v>0</v>
      </c>
      <c r="T7" s="203">
        <f>IF(K7=0,0,K7*($F7/($E7*24))*$G7*$H7/2000)</f>
        <v>0</v>
      </c>
      <c r="U7" s="203">
        <f t="shared" ref="U7:W10" si="1">IF(L7=0,0,L7*($F7/($E7*24))*$G7*$H7/2000)</f>
        <v>0</v>
      </c>
      <c r="V7" s="203">
        <f t="shared" si="1"/>
        <v>0</v>
      </c>
      <c r="W7" s="203">
        <f t="shared" si="1"/>
        <v>0</v>
      </c>
      <c r="X7" s="203">
        <f>IFERROR(IF(O7=0,0,O7*($F7/($E7*24))*$G7*$H7/2000),"--")</f>
        <v>0</v>
      </c>
      <c r="Y7" s="203">
        <f>IF(P7=0,0,P7*($F7/($E7*24))*$G7*$H7/2000)</f>
        <v>0</v>
      </c>
      <c r="Z7" s="205">
        <f>IFERROR(IF(Q7=0,0,Q7*($F7/($E7*24))*$G7*$H7/2000),"--")</f>
        <v>0</v>
      </c>
      <c r="AA7" s="262"/>
      <c r="AB7" s="262"/>
      <c r="AC7" s="262"/>
      <c r="AD7" s="262"/>
      <c r="AE7" s="262"/>
      <c r="AF7" s="262"/>
      <c r="AG7" s="262"/>
      <c r="AH7" s="262"/>
      <c r="AI7" s="262"/>
      <c r="AJ7" s="262"/>
      <c r="AK7" s="262"/>
      <c r="AL7" s="262"/>
      <c r="AM7" s="262"/>
      <c r="AN7" s="262"/>
      <c r="AO7" s="262"/>
      <c r="AP7" s="262"/>
      <c r="AQ7" s="262"/>
      <c r="AR7" s="262"/>
    </row>
    <row r="8" spans="1:44" s="183" customFormat="1" ht="12.75" customHeight="1" x14ac:dyDescent="0.2">
      <c r="A8" s="206"/>
      <c r="B8" s="238" t="s">
        <v>165</v>
      </c>
      <c r="C8" s="294"/>
      <c r="D8" s="208">
        <v>0</v>
      </c>
      <c r="E8" s="209">
        <f>FACTORS!$I$2*D8</f>
        <v>0</v>
      </c>
      <c r="F8" s="201">
        <f>E8*24</f>
        <v>0</v>
      </c>
      <c r="G8" s="210">
        <v>0</v>
      </c>
      <c r="H8" s="211">
        <v>0</v>
      </c>
      <c r="I8" s="222">
        <f>FACTORS!$C$17*D8/453.592</f>
        <v>0</v>
      </c>
      <c r="J8" s="404">
        <f>FACTORS!$D$17*D8/453.592</f>
        <v>0</v>
      </c>
      <c r="K8" s="405">
        <f>FACTORS!$E$17*D8/453.592</f>
        <v>0</v>
      </c>
      <c r="L8" s="202">
        <f>FACTORS!$F$17*D8/453.592</f>
        <v>0</v>
      </c>
      <c r="M8" s="202">
        <f>FACTORS!$G$17*D8/453.592</f>
        <v>0</v>
      </c>
      <c r="N8" s="201">
        <f>FACTORS!$H$17*D8/453.592</f>
        <v>0</v>
      </c>
      <c r="O8" s="202">
        <f>FACTORS!$I$17*D8/453.592</f>
        <v>0</v>
      </c>
      <c r="P8" s="202">
        <f>FACTORS!$J$17*D8/453.592</f>
        <v>0</v>
      </c>
      <c r="Q8" s="204">
        <f>IFERROR(FACTORS!$K$17*D8/453.592,"--")</f>
        <v>0</v>
      </c>
      <c r="R8" s="200">
        <f>IF(I8=0,0,I8*($F8/($E8*24))*$G8*$H8/2000)</f>
        <v>0</v>
      </c>
      <c r="S8" s="202">
        <f t="shared" si="0"/>
        <v>0</v>
      </c>
      <c r="T8" s="202">
        <f t="shared" si="0"/>
        <v>0</v>
      </c>
      <c r="U8" s="202">
        <f t="shared" si="1"/>
        <v>0</v>
      </c>
      <c r="V8" s="202">
        <f t="shared" si="1"/>
        <v>0</v>
      </c>
      <c r="W8" s="202">
        <f t="shared" si="1"/>
        <v>0</v>
      </c>
      <c r="X8" s="202">
        <f>IFERROR(IF(O8=0,0,O8*($F8/($E8*24))*$G8*$H8/2000),"--")</f>
        <v>0</v>
      </c>
      <c r="Y8" s="202">
        <f>IF(P8=0,0,P8*($F8/($E8*24))*$G8*$H8/2000)</f>
        <v>0</v>
      </c>
      <c r="Z8" s="213">
        <f>IFERROR(IF(Q8=0,0,Q8*($F8/($E8*24))*$G8*$H8/2000),"--")</f>
        <v>0</v>
      </c>
      <c r="AA8" s="256"/>
      <c r="AB8" s="256"/>
      <c r="AC8" s="256"/>
      <c r="AD8" s="256"/>
      <c r="AE8" s="256"/>
      <c r="AF8" s="256"/>
      <c r="AG8" s="256"/>
      <c r="AH8" s="256"/>
      <c r="AI8" s="256"/>
      <c r="AJ8" s="256"/>
      <c r="AK8" s="256"/>
      <c r="AL8" s="256"/>
      <c r="AM8" s="256"/>
      <c r="AN8" s="256"/>
      <c r="AO8" s="256"/>
      <c r="AP8" s="256"/>
      <c r="AQ8" s="256"/>
      <c r="AR8" s="256"/>
    </row>
    <row r="9" spans="1:44" s="183" customFormat="1" ht="12.75" customHeight="1" x14ac:dyDescent="0.2">
      <c r="A9" s="206"/>
      <c r="B9" s="238" t="s">
        <v>165</v>
      </c>
      <c r="C9" s="294"/>
      <c r="D9" s="208">
        <v>0</v>
      </c>
      <c r="E9" s="209">
        <f>FACTORS!$I$2*D9</f>
        <v>0</v>
      </c>
      <c r="F9" s="201">
        <f>E9*24</f>
        <v>0</v>
      </c>
      <c r="G9" s="210">
        <v>0</v>
      </c>
      <c r="H9" s="211">
        <v>0</v>
      </c>
      <c r="I9" s="222">
        <f>FACTORS!$C$17*D9/453.592</f>
        <v>0</v>
      </c>
      <c r="J9" s="404">
        <f>FACTORS!$D$17*D9/453.592</f>
        <v>0</v>
      </c>
      <c r="K9" s="405">
        <f>FACTORS!$E$17*D9/453.592</f>
        <v>0</v>
      </c>
      <c r="L9" s="202">
        <f>FACTORS!$F$17*D9/453.592</f>
        <v>0</v>
      </c>
      <c r="M9" s="202">
        <f>FACTORS!$G$17*D9/453.592</f>
        <v>0</v>
      </c>
      <c r="N9" s="201">
        <f>FACTORS!$H$17*D9/453.592</f>
        <v>0</v>
      </c>
      <c r="O9" s="202">
        <f>FACTORS!$I$17*D9/453.592</f>
        <v>0</v>
      </c>
      <c r="P9" s="202">
        <f>FACTORS!$J$17*D9/453.592</f>
        <v>0</v>
      </c>
      <c r="Q9" s="204">
        <f>IFERROR(FACTORS!$K$17*D9/453.592,"--")</f>
        <v>0</v>
      </c>
      <c r="R9" s="200">
        <f>IF(I9=0,0,I9*($F9/($E9*24))*$G9*$H9/2000)</f>
        <v>0</v>
      </c>
      <c r="S9" s="202">
        <f t="shared" si="0"/>
        <v>0</v>
      </c>
      <c r="T9" s="202">
        <f t="shared" si="0"/>
        <v>0</v>
      </c>
      <c r="U9" s="202">
        <f t="shared" si="1"/>
        <v>0</v>
      </c>
      <c r="V9" s="202">
        <f t="shared" si="1"/>
        <v>0</v>
      </c>
      <c r="W9" s="202">
        <f t="shared" si="1"/>
        <v>0</v>
      </c>
      <c r="X9" s="202">
        <f>IFERROR(IF(O9=0,0,O9*($F9/($E9*24))*$G9*$H9/2000),"--")</f>
        <v>0</v>
      </c>
      <c r="Y9" s="202">
        <f>IF(P9=0,0,P9*($F9/($E9*24))*$G9*$H9/2000)</f>
        <v>0</v>
      </c>
      <c r="Z9" s="213">
        <f>IFERROR(IF(Q9=0,0,Q9*($F9/($E9*24))*$G9*$H9/2000),"--")</f>
        <v>0</v>
      </c>
      <c r="AA9" s="256"/>
      <c r="AB9" s="256"/>
      <c r="AC9" s="256"/>
      <c r="AD9" s="256"/>
      <c r="AE9" s="256"/>
      <c r="AF9" s="256"/>
      <c r="AG9" s="256"/>
      <c r="AH9" s="256"/>
      <c r="AI9" s="256"/>
      <c r="AJ9" s="256"/>
      <c r="AK9" s="256"/>
      <c r="AL9" s="256"/>
      <c r="AM9" s="256"/>
      <c r="AN9" s="256"/>
      <c r="AO9" s="256"/>
      <c r="AP9" s="256"/>
      <c r="AQ9" s="256"/>
      <c r="AR9" s="256"/>
    </row>
    <row r="10" spans="1:44" s="183" customFormat="1" ht="12.75" customHeight="1" x14ac:dyDescent="0.2">
      <c r="A10" s="206"/>
      <c r="B10" s="238" t="s">
        <v>165</v>
      </c>
      <c r="C10" s="294"/>
      <c r="D10" s="208">
        <v>0</v>
      </c>
      <c r="E10" s="209">
        <f>FACTORS!$I$2*D10</f>
        <v>0</v>
      </c>
      <c r="F10" s="201">
        <f>E10*24</f>
        <v>0</v>
      </c>
      <c r="G10" s="210">
        <v>0</v>
      </c>
      <c r="H10" s="211">
        <v>0</v>
      </c>
      <c r="I10" s="222">
        <f>FACTORS!$C$17*D10/453.592</f>
        <v>0</v>
      </c>
      <c r="J10" s="404">
        <f>FACTORS!$D$17*D10/453.592</f>
        <v>0</v>
      </c>
      <c r="K10" s="405">
        <f>FACTORS!$E$17*D10/453.592</f>
        <v>0</v>
      </c>
      <c r="L10" s="202">
        <f>FACTORS!$F$17*D10/453.592</f>
        <v>0</v>
      </c>
      <c r="M10" s="202">
        <f>FACTORS!$G$17*D10/453.592</f>
        <v>0</v>
      </c>
      <c r="N10" s="201">
        <f>FACTORS!$H$17*D10/453.592</f>
        <v>0</v>
      </c>
      <c r="O10" s="202">
        <f>FACTORS!$I$17*D10/453.592</f>
        <v>0</v>
      </c>
      <c r="P10" s="202">
        <f>FACTORS!$J$17*D10/453.592</f>
        <v>0</v>
      </c>
      <c r="Q10" s="204">
        <f>IFERROR(FACTORS!$K$17*D10/453.592,"--")</f>
        <v>0</v>
      </c>
      <c r="R10" s="200">
        <f>IF(I10=0,0,I10*($F10/($E10*24))*$G10*$H10/2000)</f>
        <v>0</v>
      </c>
      <c r="S10" s="202">
        <f>IF(J10=0,0,J10*($F10/($E10*24))*$G10*$H10/2000)</f>
        <v>0</v>
      </c>
      <c r="T10" s="202">
        <f t="shared" si="0"/>
        <v>0</v>
      </c>
      <c r="U10" s="202">
        <f t="shared" si="1"/>
        <v>0</v>
      </c>
      <c r="V10" s="202">
        <f t="shared" si="1"/>
        <v>0</v>
      </c>
      <c r="W10" s="202">
        <f t="shared" si="1"/>
        <v>0</v>
      </c>
      <c r="X10" s="202">
        <f>IFERROR(IF(O10=0,0,O10*($F10/($E10*24))*$G10*$H10/2000),"--")</f>
        <v>0</v>
      </c>
      <c r="Y10" s="202">
        <f>IF(P10=0,0,P10*($F10/($E10*24))*$G10*$H10/2000)</f>
        <v>0</v>
      </c>
      <c r="Z10" s="213">
        <f>IFERROR(IF(Q10=0,0,Q10*($F10/($E10*24))*$G10*$H10/2000),"--")</f>
        <v>0</v>
      </c>
      <c r="AA10" s="256"/>
      <c r="AB10" s="256"/>
      <c r="AC10" s="256"/>
      <c r="AD10" s="256"/>
      <c r="AE10" s="256"/>
      <c r="AF10" s="256"/>
      <c r="AG10" s="256"/>
      <c r="AH10" s="256"/>
      <c r="AI10" s="256"/>
      <c r="AJ10" s="256"/>
      <c r="AK10" s="256"/>
      <c r="AL10" s="256"/>
      <c r="AM10" s="256"/>
      <c r="AN10" s="256"/>
      <c r="AO10" s="256"/>
      <c r="AP10" s="256"/>
      <c r="AQ10" s="256"/>
      <c r="AR10" s="256"/>
    </row>
    <row r="11" spans="1:44" s="183" customFormat="1" x14ac:dyDescent="0.2">
      <c r="A11" s="206"/>
      <c r="B11" s="207" t="s">
        <v>194</v>
      </c>
      <c r="C11" s="207"/>
      <c r="D11" s="208">
        <v>0</v>
      </c>
      <c r="E11" s="214"/>
      <c r="F11" s="215"/>
      <c r="G11" s="208">
        <v>0</v>
      </c>
      <c r="H11" s="211">
        <v>0</v>
      </c>
      <c r="I11" s="222">
        <f>FACTORS!$C$19*D11/453.592</f>
        <v>0</v>
      </c>
      <c r="J11" s="404">
        <f>FACTORS!$D$19*D11/453.592</f>
        <v>0</v>
      </c>
      <c r="K11" s="405">
        <f>FACTORS!$E$19*D11/453.592</f>
        <v>0</v>
      </c>
      <c r="L11" s="202">
        <f>FACTORS!$F$19*D11/453.592</f>
        <v>0</v>
      </c>
      <c r="M11" s="202">
        <f>FACTORS!$G$19*D11/453.592</f>
        <v>0</v>
      </c>
      <c r="N11" s="201">
        <f>FACTORS!$H$19*D11/453.592</f>
        <v>0</v>
      </c>
      <c r="O11" s="202">
        <f>FACTORS!$I$19*D11/453.592</f>
        <v>0</v>
      </c>
      <c r="P11" s="202">
        <f>FACTORS!$J$19*D11/453.592</f>
        <v>0</v>
      </c>
      <c r="Q11" s="204">
        <f>FACTORS!$K$19*D11/453.592</f>
        <v>0</v>
      </c>
      <c r="R11" s="200">
        <f>I11*$G11*$H11/2000</f>
        <v>0</v>
      </c>
      <c r="S11" s="408">
        <f>J11*$G11*$H11/2000</f>
        <v>0</v>
      </c>
      <c r="T11" s="408">
        <f>K11*$G11*$H11/2000</f>
        <v>0</v>
      </c>
      <c r="U11" s="202">
        <f t="shared" ref="U11:Z11" si="2">L11*$G11*$H11/2000</f>
        <v>0</v>
      </c>
      <c r="V11" s="202">
        <f t="shared" si="2"/>
        <v>0</v>
      </c>
      <c r="W11" s="202">
        <f t="shared" si="2"/>
        <v>0</v>
      </c>
      <c r="X11" s="202">
        <f t="shared" si="2"/>
        <v>0</v>
      </c>
      <c r="Y11" s="202">
        <f t="shared" si="2"/>
        <v>0</v>
      </c>
      <c r="Z11" s="213">
        <f t="shared" si="2"/>
        <v>0</v>
      </c>
      <c r="AA11" s="256"/>
      <c r="AB11" s="256"/>
      <c r="AC11" s="256"/>
      <c r="AD11" s="256"/>
      <c r="AE11" s="256"/>
      <c r="AF11" s="256"/>
      <c r="AG11" s="256"/>
      <c r="AH11" s="256"/>
      <c r="AI11" s="256"/>
      <c r="AJ11" s="256"/>
      <c r="AK11" s="256"/>
      <c r="AL11" s="256"/>
      <c r="AM11" s="256"/>
      <c r="AN11" s="256"/>
      <c r="AO11" s="256"/>
      <c r="AP11" s="256"/>
      <c r="AQ11" s="256"/>
      <c r="AR11" s="256"/>
    </row>
    <row r="12" spans="1:44" s="183" customFormat="1" x14ac:dyDescent="0.2">
      <c r="A12" s="206"/>
      <c r="B12" s="207" t="s">
        <v>200</v>
      </c>
      <c r="C12" s="207"/>
      <c r="D12" s="208">
        <v>0</v>
      </c>
      <c r="E12" s="209">
        <f>FACTORS!$I$2*D12</f>
        <v>0</v>
      </c>
      <c r="F12" s="201">
        <f>E12*24</f>
        <v>0</v>
      </c>
      <c r="G12" s="210">
        <v>0</v>
      </c>
      <c r="H12" s="211">
        <v>0</v>
      </c>
      <c r="I12" s="406">
        <f>FACTORS!$C$18*D12/453.592</f>
        <v>0</v>
      </c>
      <c r="J12" s="404">
        <f>FACTORS!$D$18*D12/453.592</f>
        <v>0</v>
      </c>
      <c r="K12" s="405">
        <f>FACTORS!$E$18*D12/453.592</f>
        <v>0</v>
      </c>
      <c r="L12" s="202">
        <f>FACTORS!$F$18*D12/453.592</f>
        <v>0</v>
      </c>
      <c r="M12" s="202">
        <f>FACTORS!$G$18*D12/453.592</f>
        <v>0</v>
      </c>
      <c r="N12" s="201">
        <f>FACTORS!$H$18*D12/453.592</f>
        <v>0</v>
      </c>
      <c r="O12" s="202">
        <f>FACTORS!$I$18*D12/453.592</f>
        <v>0</v>
      </c>
      <c r="P12" s="202">
        <f>FACTORS!$J$18*D12/453.592</f>
        <v>0</v>
      </c>
      <c r="Q12" s="204">
        <f>FACTORS!$K$18*D12/453.592</f>
        <v>0</v>
      </c>
      <c r="R12" s="200">
        <f>IF(I12=0,0,I12*($F12/($E12*24))*$G12*$H12/2000)</f>
        <v>0</v>
      </c>
      <c r="S12" s="202">
        <f t="shared" ref="S12:W12" si="3">IF(J12=0,0,J12*($F12/($E12*24))*$G12*$H12/2000)</f>
        <v>0</v>
      </c>
      <c r="T12" s="202">
        <f t="shared" si="3"/>
        <v>0</v>
      </c>
      <c r="U12" s="202">
        <f t="shared" si="3"/>
        <v>0</v>
      </c>
      <c r="V12" s="202">
        <f t="shared" si="3"/>
        <v>0</v>
      </c>
      <c r="W12" s="202">
        <f t="shared" si="3"/>
        <v>0</v>
      </c>
      <c r="X12" s="202">
        <f>IFERROR(IF(O12=0,0,O12*($F12/($E12*24))*$G12*$H12/2000),"--")</f>
        <v>0</v>
      </c>
      <c r="Y12" s="202">
        <f t="shared" ref="Y12" si="4">IF(P12=0,0,P12*($F12/($E12*24))*$G12*$H12/2000)</f>
        <v>0</v>
      </c>
      <c r="Z12" s="213">
        <f>IFERROR(IF(Q12=0,0,Q12*($F12/($E12*24))*$G12*$H12/2000),"--")</f>
        <v>0</v>
      </c>
      <c r="AA12" s="256"/>
      <c r="AB12" s="256"/>
      <c r="AC12" s="256"/>
      <c r="AD12" s="256"/>
      <c r="AE12" s="256"/>
      <c r="AF12" s="256"/>
      <c r="AG12" s="256"/>
      <c r="AH12" s="256"/>
      <c r="AI12" s="256"/>
      <c r="AJ12" s="256"/>
      <c r="AK12" s="256"/>
      <c r="AL12" s="256"/>
      <c r="AM12" s="256"/>
      <c r="AN12" s="256"/>
      <c r="AO12" s="256"/>
      <c r="AP12" s="256"/>
      <c r="AQ12" s="256"/>
      <c r="AR12" s="256"/>
    </row>
    <row r="13" spans="1:44" ht="12.75" customHeight="1" x14ac:dyDescent="0.2">
      <c r="A13" s="61"/>
      <c r="B13" s="62"/>
      <c r="C13" s="62"/>
      <c r="D13" s="63"/>
      <c r="E13" s="64" t="s">
        <v>0</v>
      </c>
      <c r="F13" s="65"/>
      <c r="G13" s="66"/>
      <c r="H13" s="67"/>
      <c r="I13" s="59" t="s">
        <v>0</v>
      </c>
      <c r="J13" s="60"/>
      <c r="K13" s="374"/>
      <c r="L13" s="60" t="s">
        <v>0</v>
      </c>
      <c r="M13" s="60"/>
      <c r="N13" s="58"/>
      <c r="O13" s="60"/>
      <c r="P13" s="60"/>
      <c r="Q13" s="151"/>
      <c r="R13" s="75"/>
      <c r="S13" s="60"/>
      <c r="T13" s="60"/>
      <c r="U13" s="60"/>
      <c r="V13" s="60"/>
      <c r="W13" s="60"/>
      <c r="X13" s="60"/>
      <c r="Y13" s="60"/>
      <c r="Z13" s="110"/>
    </row>
    <row r="14" spans="1:44" s="183" customFormat="1" ht="12.75" customHeight="1" x14ac:dyDescent="0.2">
      <c r="A14" s="206" t="s">
        <v>183</v>
      </c>
      <c r="B14" s="207" t="s">
        <v>121</v>
      </c>
      <c r="C14" s="207"/>
      <c r="D14" s="208">
        <v>0</v>
      </c>
      <c r="E14" s="216">
        <f>FACTORS!$I$2*D14</f>
        <v>0</v>
      </c>
      <c r="F14" s="201">
        <f>E14*24</f>
        <v>0</v>
      </c>
      <c r="G14" s="210">
        <v>0</v>
      </c>
      <c r="H14" s="211">
        <v>0</v>
      </c>
      <c r="I14" s="236">
        <f>FACTORS!$C$17*D14/453.592</f>
        <v>0</v>
      </c>
      <c r="J14" s="407">
        <f>FACTORS!$D$17*D14/453.592</f>
        <v>0</v>
      </c>
      <c r="K14" s="409">
        <f>FACTORS!$E$17*D14/453.592</f>
        <v>0</v>
      </c>
      <c r="L14" s="219">
        <f>FACTORS!$F$17*D14/453.592</f>
        <v>0</v>
      </c>
      <c r="M14" s="219">
        <f>FACTORS!$G$17*D14/453.592</f>
        <v>0</v>
      </c>
      <c r="N14" s="218">
        <f>FACTORS!$H$17*D14/453.592</f>
        <v>0</v>
      </c>
      <c r="O14" s="219">
        <f>FACTORS!$I$17*D14/453.592</f>
        <v>0</v>
      </c>
      <c r="P14" s="219">
        <f>FACTORS!$J$17*D14/453.592</f>
        <v>0</v>
      </c>
      <c r="Q14" s="220">
        <f>FACTORS!$K$17*D14/453.592</f>
        <v>0</v>
      </c>
      <c r="R14" s="217">
        <f>IF(I14=0,0,I14*($F14/($E14*24))*$G14*$H14/2000)</f>
        <v>0</v>
      </c>
      <c r="S14" s="219">
        <f t="shared" ref="S14:W14" si="5">IF(J14=0,0,J14*($F14/($E14*24))*$G14*$H14/2000)</f>
        <v>0</v>
      </c>
      <c r="T14" s="219">
        <f t="shared" si="5"/>
        <v>0</v>
      </c>
      <c r="U14" s="219">
        <f t="shared" si="5"/>
        <v>0</v>
      </c>
      <c r="V14" s="219">
        <f t="shared" si="5"/>
        <v>0</v>
      </c>
      <c r="W14" s="219">
        <f t="shared" si="5"/>
        <v>0</v>
      </c>
      <c r="X14" s="219">
        <f>IFERROR(IF(O14=0,0,O14*($F14/($E14*24))*$G14*$H14/2000),"--")</f>
        <v>0</v>
      </c>
      <c r="Y14" s="219">
        <f t="shared" ref="Y14" si="6">IF(P14=0,0,P14*($F14/($E14*24))*$G14*$H14/2000)</f>
        <v>0</v>
      </c>
      <c r="Z14" s="221">
        <f>IFERROR(IF(Q14=0,0,Q14*($F14/($E14*24))*$G14*$H14/2000),"--")</f>
        <v>0</v>
      </c>
      <c r="AA14" s="256"/>
      <c r="AB14" s="256"/>
      <c r="AC14" s="256"/>
      <c r="AD14" s="256"/>
      <c r="AE14" s="256"/>
      <c r="AF14" s="256"/>
      <c r="AG14" s="256"/>
      <c r="AH14" s="256"/>
      <c r="AI14" s="256"/>
      <c r="AJ14" s="256"/>
      <c r="AK14" s="256"/>
      <c r="AL14" s="256"/>
      <c r="AM14" s="256"/>
      <c r="AN14" s="256"/>
      <c r="AO14" s="256"/>
      <c r="AP14" s="256"/>
      <c r="AQ14" s="256"/>
      <c r="AR14" s="256"/>
    </row>
    <row r="15" spans="1:44" ht="12.75" customHeight="1" x14ac:dyDescent="0.2">
      <c r="A15" s="61"/>
      <c r="B15" s="62"/>
      <c r="C15" s="62"/>
      <c r="D15" s="450" t="s">
        <v>205</v>
      </c>
      <c r="E15" s="64" t="s">
        <v>0</v>
      </c>
      <c r="F15" s="65"/>
      <c r="G15" s="66"/>
      <c r="H15" s="67"/>
      <c r="I15" s="59" t="s">
        <v>0</v>
      </c>
      <c r="J15" s="414" t="s">
        <v>0</v>
      </c>
      <c r="K15" s="415" t="s">
        <v>0</v>
      </c>
      <c r="L15" s="60" t="s">
        <v>0</v>
      </c>
      <c r="M15" s="60"/>
      <c r="N15" s="58"/>
      <c r="O15" s="60"/>
      <c r="P15" s="60"/>
      <c r="Q15" s="151"/>
      <c r="R15" s="75"/>
      <c r="S15" s="60"/>
      <c r="T15" s="60"/>
      <c r="U15" s="60"/>
      <c r="V15" s="60"/>
      <c r="W15" s="60"/>
      <c r="X15" s="68"/>
      <c r="Y15" s="68"/>
      <c r="Z15" s="69"/>
    </row>
    <row r="16" spans="1:44" ht="12.75" customHeight="1" x14ac:dyDescent="0.2">
      <c r="A16" s="230" t="s">
        <v>61</v>
      </c>
      <c r="B16" s="231" t="s">
        <v>31</v>
      </c>
      <c r="C16" s="232"/>
      <c r="D16" s="233">
        <v>0</v>
      </c>
      <c r="E16" s="227"/>
      <c r="F16" s="228"/>
      <c r="G16" s="234">
        <v>0</v>
      </c>
      <c r="H16" s="235">
        <v>0</v>
      </c>
      <c r="I16" s="236">
        <f>FACTORS!$C$27*D16/24</f>
        <v>0</v>
      </c>
      <c r="J16" s="407">
        <f>FACTORS!$D$27*D16/24</f>
        <v>0</v>
      </c>
      <c r="K16" s="409">
        <f>FACTORS!$E$27*D16/24</f>
        <v>0</v>
      </c>
      <c r="L16" s="219">
        <f>FACTORS!$F$27*D16/24</f>
        <v>0</v>
      </c>
      <c r="M16" s="219">
        <f>FACTORS!$G$27*D16/24</f>
        <v>0</v>
      </c>
      <c r="N16" s="218">
        <f>FACTORS!$H$27*D16/24</f>
        <v>0</v>
      </c>
      <c r="O16" s="218">
        <f>FACTORS!$I$27*D16/24</f>
        <v>0</v>
      </c>
      <c r="P16" s="219">
        <f>FACTORS!$J$27*D16/24</f>
        <v>0</v>
      </c>
      <c r="Q16" s="219">
        <f>FACTORS!$K$27*D16/24</f>
        <v>0</v>
      </c>
      <c r="R16" s="236">
        <f>IFERROR(I16*$G16*$H16/2000, "--")</f>
        <v>0</v>
      </c>
      <c r="S16" s="408">
        <f>IFERROR(J16*$G16*$H16/2000, "--")</f>
        <v>0</v>
      </c>
      <c r="T16" s="409">
        <f>IFERROR(K16*$G16*$H16/2000, "--")</f>
        <v>0</v>
      </c>
      <c r="U16" s="219">
        <f t="shared" ref="U16:Z16" si="7">IFERROR(L16*$G16*$H16/2000, "--")</f>
        <v>0</v>
      </c>
      <c r="V16" s="219">
        <f t="shared" si="7"/>
        <v>0</v>
      </c>
      <c r="W16" s="219">
        <f t="shared" si="7"/>
        <v>0</v>
      </c>
      <c r="X16" s="219">
        <f t="shared" si="7"/>
        <v>0</v>
      </c>
      <c r="Y16" s="218">
        <f t="shared" si="7"/>
        <v>0</v>
      </c>
      <c r="Z16" s="221">
        <f t="shared" si="7"/>
        <v>0</v>
      </c>
    </row>
    <row r="17" spans="1:44" ht="15" customHeight="1" x14ac:dyDescent="0.2">
      <c r="A17" s="237" t="s">
        <v>65</v>
      </c>
      <c r="B17" s="207" t="s">
        <v>128</v>
      </c>
      <c r="C17" s="238"/>
      <c r="D17" s="239"/>
      <c r="E17" s="209">
        <v>0</v>
      </c>
      <c r="F17" s="229" t="s">
        <v>0</v>
      </c>
      <c r="G17" s="208">
        <v>0</v>
      </c>
      <c r="H17" s="211">
        <v>0</v>
      </c>
      <c r="I17" s="222">
        <f>FACTORS!$C$22*E17/1000000</f>
        <v>0</v>
      </c>
      <c r="J17" s="408">
        <f>FACTORS!$D$22*E17/1000000</f>
        <v>0</v>
      </c>
      <c r="K17" s="404">
        <f>FACTORS!$E$22*E17/1000000</f>
        <v>0</v>
      </c>
      <c r="L17" s="202">
        <f>FACTORS!$F$22*E17/1000000</f>
        <v>0</v>
      </c>
      <c r="M17" s="202">
        <f>FACTORS!$G$22*E17/1000000</f>
        <v>0</v>
      </c>
      <c r="N17" s="201">
        <f>FACTORS!$H$22*E17/1000000</f>
        <v>0</v>
      </c>
      <c r="O17" s="202" t="str">
        <f>IFERROR(FACTORS!$I$22*E17/1000000,"--")</f>
        <v>--</v>
      </c>
      <c r="P17" s="202">
        <f>FACTORS!$J$22*E17/1000000</f>
        <v>0</v>
      </c>
      <c r="Q17" s="212" t="str">
        <f>IFERROR(FACTORS!$K$22*E17/1000000, "--")</f>
        <v>--</v>
      </c>
      <c r="R17" s="222">
        <f>IFERROR(I17*$G17*$H17/2000,"--")</f>
        <v>0</v>
      </c>
      <c r="S17" s="408">
        <f t="shared" ref="S17:Z20" si="8">IFERROR(J17*$G17*$H17/2000,"--")</f>
        <v>0</v>
      </c>
      <c r="T17" s="404">
        <f t="shared" si="8"/>
        <v>0</v>
      </c>
      <c r="U17" s="202">
        <f t="shared" si="8"/>
        <v>0</v>
      </c>
      <c r="V17" s="202">
        <f t="shared" si="8"/>
        <v>0</v>
      </c>
      <c r="W17" s="202">
        <f t="shared" si="8"/>
        <v>0</v>
      </c>
      <c r="X17" s="202" t="str">
        <f t="shared" si="8"/>
        <v>--</v>
      </c>
      <c r="Y17" s="202">
        <f t="shared" si="8"/>
        <v>0</v>
      </c>
      <c r="Z17" s="213" t="str">
        <f t="shared" si="8"/>
        <v>--</v>
      </c>
    </row>
    <row r="18" spans="1:44" ht="15" customHeight="1" x14ac:dyDescent="0.2">
      <c r="A18" s="237"/>
      <c r="B18" s="207" t="s">
        <v>129</v>
      </c>
      <c r="C18" s="207"/>
      <c r="D18" s="240"/>
      <c r="E18" s="209">
        <v>0</v>
      </c>
      <c r="F18" s="229" t="s">
        <v>0</v>
      </c>
      <c r="G18" s="208">
        <v>0</v>
      </c>
      <c r="H18" s="211">
        <v>0</v>
      </c>
      <c r="I18" s="222">
        <f>FACTORS!$C$23*E18/1000000</f>
        <v>0</v>
      </c>
      <c r="J18" s="408">
        <f>FACTORS!$D$23*E18/1000000</f>
        <v>0</v>
      </c>
      <c r="K18" s="404">
        <f>FACTORS!$E$23*E18/1000000</f>
        <v>0</v>
      </c>
      <c r="L18" s="202">
        <f>FACTORS!$F$23*E18/1000000</f>
        <v>0</v>
      </c>
      <c r="M18" s="202">
        <f>FACTORS!$G$23*E18/1000000</f>
        <v>0</v>
      </c>
      <c r="N18" s="201">
        <f>FACTORS!$H$23*E18/1000000</f>
        <v>0</v>
      </c>
      <c r="O18" s="202" t="str">
        <f>IFERROR(FACTORS!$I$23*E18/1000000, "--")</f>
        <v>--</v>
      </c>
      <c r="P18" s="202">
        <f>FACTORS!$J$23*E18/1000000</f>
        <v>0</v>
      </c>
      <c r="Q18" s="223" t="str">
        <f>IFERROR(FACTORS!$K$23*E18/1000000, "--")</f>
        <v>--</v>
      </c>
      <c r="R18" s="222">
        <f>IFERROR(I18*$G18*$H18/2000,"--")</f>
        <v>0</v>
      </c>
      <c r="S18" s="408">
        <f t="shared" si="8"/>
        <v>0</v>
      </c>
      <c r="T18" s="404">
        <f t="shared" si="8"/>
        <v>0</v>
      </c>
      <c r="U18" s="202">
        <f t="shared" si="8"/>
        <v>0</v>
      </c>
      <c r="V18" s="202">
        <f t="shared" si="8"/>
        <v>0</v>
      </c>
      <c r="W18" s="202">
        <f t="shared" si="8"/>
        <v>0</v>
      </c>
      <c r="X18" s="202" t="str">
        <f t="shared" si="8"/>
        <v>--</v>
      </c>
      <c r="Y18" s="202">
        <f t="shared" si="8"/>
        <v>0</v>
      </c>
      <c r="Z18" s="213" t="str">
        <f t="shared" si="8"/>
        <v>--</v>
      </c>
    </row>
    <row r="19" spans="1:44" ht="15" customHeight="1" x14ac:dyDescent="0.2">
      <c r="A19" s="237"/>
      <c r="B19" s="207" t="s">
        <v>130</v>
      </c>
      <c r="C19" s="207"/>
      <c r="D19" s="240"/>
      <c r="E19" s="209">
        <v>0</v>
      </c>
      <c r="F19" s="229" t="s">
        <v>0</v>
      </c>
      <c r="G19" s="208">
        <v>0</v>
      </c>
      <c r="H19" s="211">
        <v>0</v>
      </c>
      <c r="I19" s="222">
        <f>FACTORS!$C$24*E19/1000000</f>
        <v>0</v>
      </c>
      <c r="J19" s="408">
        <f>FACTORS!$D$24*E19/1000000</f>
        <v>0</v>
      </c>
      <c r="K19" s="404">
        <f>FACTORS!$E$24*E19/1000000</f>
        <v>0</v>
      </c>
      <c r="L19" s="202">
        <f>FACTORS!$F$24*E19/1000000</f>
        <v>0</v>
      </c>
      <c r="M19" s="202">
        <f>FACTORS!$G$24*E19/1000000</f>
        <v>0</v>
      </c>
      <c r="N19" s="201">
        <f>FACTORS!$H$24*E19/1000000</f>
        <v>0</v>
      </c>
      <c r="O19" s="202" t="str">
        <f>IFERROR(FACTORS!$I$24*E19/1000000, "--")</f>
        <v>--</v>
      </c>
      <c r="P19" s="202">
        <f>FACTORS!$J$24*E19/1000000</f>
        <v>0</v>
      </c>
      <c r="Q19" s="223" t="str">
        <f>IFERROR(FACTORS!$K$24*E19/1000000, "--")</f>
        <v>--</v>
      </c>
      <c r="R19" s="222">
        <f>IFERROR(I19*$G19*$H19/2000,"--")</f>
        <v>0</v>
      </c>
      <c r="S19" s="408">
        <f t="shared" si="8"/>
        <v>0</v>
      </c>
      <c r="T19" s="404">
        <f t="shared" si="8"/>
        <v>0</v>
      </c>
      <c r="U19" s="202">
        <f t="shared" si="8"/>
        <v>0</v>
      </c>
      <c r="V19" s="202">
        <f t="shared" si="8"/>
        <v>0</v>
      </c>
      <c r="W19" s="202">
        <f t="shared" si="8"/>
        <v>0</v>
      </c>
      <c r="X19" s="202" t="str">
        <f t="shared" si="8"/>
        <v>--</v>
      </c>
      <c r="Y19" s="202">
        <f t="shared" si="8"/>
        <v>0</v>
      </c>
      <c r="Z19" s="213" t="str">
        <f t="shared" si="8"/>
        <v>--</v>
      </c>
    </row>
    <row r="20" spans="1:44" ht="15" customHeight="1" x14ac:dyDescent="0.2">
      <c r="A20" s="237"/>
      <c r="B20" s="207" t="s">
        <v>131</v>
      </c>
      <c r="C20" s="207"/>
      <c r="D20" s="240"/>
      <c r="E20" s="209">
        <v>0</v>
      </c>
      <c r="F20" s="229" t="s">
        <v>0</v>
      </c>
      <c r="G20" s="208">
        <v>0</v>
      </c>
      <c r="H20" s="211">
        <v>0</v>
      </c>
      <c r="I20" s="222">
        <f>FACTORS!$C$25*E20/1000000</f>
        <v>0</v>
      </c>
      <c r="J20" s="408">
        <f>FACTORS!$D$25*E20/1000000</f>
        <v>0</v>
      </c>
      <c r="K20" s="404">
        <f>FACTORS!$E$25*E20/1000000</f>
        <v>0</v>
      </c>
      <c r="L20" s="202">
        <f>FACTORS!$F$25*E20/1000000</f>
        <v>0</v>
      </c>
      <c r="M20" s="202">
        <f>FACTORS!$G$25*E20/1000000</f>
        <v>0</v>
      </c>
      <c r="N20" s="201">
        <f>FACTORS!$H$25*E20/1000000</f>
        <v>0</v>
      </c>
      <c r="O20" s="202" t="str">
        <f>IFERROR(FACTORS!$I$25*E20/1000000, "--")</f>
        <v>--</v>
      </c>
      <c r="P20" s="202">
        <f>FACTORS!$J$25*E20/1000000</f>
        <v>0</v>
      </c>
      <c r="Q20" s="223" t="str">
        <f>IFERROR(FACTORS!$K$25*E20/1000000, "--")</f>
        <v>--</v>
      </c>
      <c r="R20" s="328">
        <f>IFERROR(I20*$G20*$H20/2000,"--")</f>
        <v>0</v>
      </c>
      <c r="S20" s="410">
        <f t="shared" si="8"/>
        <v>0</v>
      </c>
      <c r="T20" s="411">
        <f>IFERROR(K20*$G20*$H20/2000,"--")</f>
        <v>0</v>
      </c>
      <c r="U20" s="225">
        <f t="shared" si="8"/>
        <v>0</v>
      </c>
      <c r="V20" s="225">
        <f t="shared" si="8"/>
        <v>0</v>
      </c>
      <c r="W20" s="225">
        <f t="shared" si="8"/>
        <v>0</v>
      </c>
      <c r="X20" s="225" t="str">
        <f t="shared" si="8"/>
        <v>--</v>
      </c>
      <c r="Y20" s="225">
        <f t="shared" si="8"/>
        <v>0</v>
      </c>
      <c r="Z20" s="226" t="str">
        <f t="shared" si="8"/>
        <v>--</v>
      </c>
    </row>
    <row r="21" spans="1:44" ht="24.75" customHeight="1" x14ac:dyDescent="0.2">
      <c r="A21" s="360" t="s">
        <v>184</v>
      </c>
      <c r="B21" s="362" t="s">
        <v>160</v>
      </c>
      <c r="C21" s="157"/>
      <c r="D21" s="357" t="s">
        <v>100</v>
      </c>
      <c r="E21" s="74"/>
      <c r="F21" s="74"/>
      <c r="G21" s="169" t="s">
        <v>60</v>
      </c>
      <c r="H21" s="358" t="s">
        <v>71</v>
      </c>
      <c r="I21" s="375"/>
      <c r="J21" s="425"/>
      <c r="K21" s="426"/>
      <c r="L21" s="320"/>
      <c r="M21" s="320"/>
      <c r="N21" s="121"/>
      <c r="O21" s="320"/>
      <c r="P21" s="320"/>
      <c r="Q21" s="359"/>
      <c r="R21" s="59"/>
      <c r="S21" s="414"/>
      <c r="T21" s="415"/>
      <c r="U21" s="60"/>
      <c r="V21" s="60"/>
      <c r="W21" s="60"/>
      <c r="X21" s="60"/>
      <c r="Y21" s="60"/>
      <c r="Z21" s="110"/>
    </row>
    <row r="22" spans="1:44" s="183" customFormat="1" ht="12.75" customHeight="1" x14ac:dyDescent="0.2">
      <c r="A22" s="324"/>
      <c r="B22" s="271" t="s">
        <v>120</v>
      </c>
      <c r="C22" s="272"/>
      <c r="D22" s="273">
        <v>0</v>
      </c>
      <c r="E22" s="270"/>
      <c r="F22" s="270"/>
      <c r="G22" s="273">
        <v>0</v>
      </c>
      <c r="H22" s="325">
        <v>0</v>
      </c>
      <c r="I22" s="328">
        <f>FACTORS!$C$41*D22/453.592</f>
        <v>0</v>
      </c>
      <c r="J22" s="410">
        <f>FACTORS!$D$41*D22/453.592</f>
        <v>0</v>
      </c>
      <c r="K22" s="411">
        <f>FACTORS!$E$41*D22/453.592</f>
        <v>0</v>
      </c>
      <c r="L22" s="225">
        <f>FACTORS!$F$41*D22/453.592</f>
        <v>0</v>
      </c>
      <c r="M22" s="225">
        <f>FACTORS!$G$41*D22/453.592</f>
        <v>0</v>
      </c>
      <c r="N22" s="326">
        <f>FACTORS!$H$41*D22/453.592</f>
        <v>0</v>
      </c>
      <c r="O22" s="365" t="s">
        <v>108</v>
      </c>
      <c r="P22" s="225">
        <f>FACTORS!$J$41*D22/453.592</f>
        <v>0</v>
      </c>
      <c r="Q22" s="356">
        <f>FACTORS!$K$41*D22/453.592</f>
        <v>0</v>
      </c>
      <c r="R22" s="224">
        <f t="shared" ref="R22" si="9">IFERROR((I22*$G22*$H22)/2000, "")</f>
        <v>0</v>
      </c>
      <c r="S22" s="410">
        <f>IFERROR((J22*$G22*$H22)/2000, "")</f>
        <v>0</v>
      </c>
      <c r="T22" s="411">
        <f>IFERROR((K22*$G22*$H22)/2000, "")</f>
        <v>0</v>
      </c>
      <c r="U22" s="327">
        <f t="shared" ref="U22:W22" si="10">IFERROR((L22*$G22*$H22)/2000, "")</f>
        <v>0</v>
      </c>
      <c r="V22" s="327">
        <f t="shared" si="10"/>
        <v>0</v>
      </c>
      <c r="W22" s="327">
        <f t="shared" si="10"/>
        <v>0</v>
      </c>
      <c r="X22" s="327" t="str">
        <f>IFERROR((O22*$G22*$H22)/2000, "--")</f>
        <v>--</v>
      </c>
      <c r="Y22" s="327">
        <f t="shared" ref="Y22:Z22" si="11">IFERROR((P22*$G22*$H22)/2000, "")</f>
        <v>0</v>
      </c>
      <c r="Z22" s="226">
        <f t="shared" si="11"/>
        <v>0</v>
      </c>
      <c r="AA22" s="256"/>
      <c r="AB22" s="256"/>
      <c r="AC22" s="256"/>
      <c r="AD22" s="256"/>
      <c r="AE22" s="256"/>
      <c r="AF22" s="256"/>
      <c r="AG22" s="256"/>
      <c r="AH22" s="256"/>
      <c r="AI22" s="256"/>
      <c r="AJ22" s="256"/>
      <c r="AK22" s="256"/>
      <c r="AL22" s="256"/>
      <c r="AM22" s="256"/>
      <c r="AN22" s="256"/>
      <c r="AO22" s="256"/>
      <c r="AP22" s="256"/>
      <c r="AQ22" s="256"/>
      <c r="AR22" s="256"/>
    </row>
    <row r="23" spans="1:44" s="252" customFormat="1" ht="12.75" customHeight="1" x14ac:dyDescent="0.2">
      <c r="A23" s="248">
        <f>EMISSIONS4!A23+1</f>
        <v>2024</v>
      </c>
      <c r="B23" s="249" t="s">
        <v>123</v>
      </c>
      <c r="C23" s="355"/>
      <c r="D23" s="241"/>
      <c r="E23" s="241"/>
      <c r="F23" s="250"/>
      <c r="G23" s="241"/>
      <c r="H23" s="251"/>
      <c r="I23" s="379">
        <f t="shared" ref="I23:Q23" si="12">SUM(I7:I22)</f>
        <v>0</v>
      </c>
      <c r="J23" s="412">
        <f t="shared" si="12"/>
        <v>0</v>
      </c>
      <c r="K23" s="413">
        <f t="shared" si="12"/>
        <v>0</v>
      </c>
      <c r="L23" s="253">
        <f t="shared" si="12"/>
        <v>0</v>
      </c>
      <c r="M23" s="253">
        <f t="shared" si="12"/>
        <v>0</v>
      </c>
      <c r="N23" s="253">
        <f t="shared" si="12"/>
        <v>0</v>
      </c>
      <c r="O23" s="253">
        <f t="shared" si="12"/>
        <v>0</v>
      </c>
      <c r="P23" s="253">
        <f t="shared" si="12"/>
        <v>0</v>
      </c>
      <c r="Q23" s="253">
        <f t="shared" si="12"/>
        <v>0</v>
      </c>
      <c r="R23" s="382">
        <f t="shared" ref="R23:Z23" si="13">SUM(R7:R22)</f>
        <v>0</v>
      </c>
      <c r="S23" s="412">
        <f t="shared" si="13"/>
        <v>0</v>
      </c>
      <c r="T23" s="413">
        <f t="shared" si="13"/>
        <v>0</v>
      </c>
      <c r="U23" s="253">
        <f t="shared" si="13"/>
        <v>0</v>
      </c>
      <c r="V23" s="253">
        <f t="shared" si="13"/>
        <v>0</v>
      </c>
      <c r="W23" s="253">
        <f t="shared" si="13"/>
        <v>0</v>
      </c>
      <c r="X23" s="253">
        <f t="shared" si="13"/>
        <v>0</v>
      </c>
      <c r="Y23" s="253">
        <f t="shared" si="13"/>
        <v>0</v>
      </c>
      <c r="Z23" s="261">
        <f t="shared" si="13"/>
        <v>0</v>
      </c>
      <c r="AA23" s="256"/>
      <c r="AB23" s="256"/>
      <c r="AC23" s="256"/>
      <c r="AD23" s="256"/>
      <c r="AE23" s="256"/>
      <c r="AF23" s="256"/>
      <c r="AG23" s="256"/>
      <c r="AH23" s="256"/>
      <c r="AI23" s="256"/>
      <c r="AJ23" s="256"/>
      <c r="AK23" s="256"/>
      <c r="AL23" s="256"/>
      <c r="AM23" s="256"/>
      <c r="AN23" s="256"/>
      <c r="AO23" s="256"/>
      <c r="AP23" s="256"/>
      <c r="AQ23" s="256"/>
      <c r="AR23" s="256"/>
    </row>
    <row r="24" spans="1:44" ht="26.1" customHeight="1" x14ac:dyDescent="0.2">
      <c r="A24" s="280" t="s">
        <v>66</v>
      </c>
      <c r="B24" s="76" t="s">
        <v>67</v>
      </c>
      <c r="C24" s="76"/>
      <c r="D24" s="70"/>
      <c r="E24" s="70"/>
      <c r="F24" s="71"/>
      <c r="G24" s="70"/>
      <c r="H24" s="119"/>
      <c r="I24" s="376"/>
      <c r="J24" s="421"/>
      <c r="K24" s="422"/>
      <c r="L24" s="285"/>
      <c r="M24" s="285"/>
      <c r="N24" s="285"/>
      <c r="O24" s="285"/>
      <c r="P24" s="285"/>
      <c r="Q24" s="120"/>
      <c r="R24" s="378">
        <f>33.3*$B$25</f>
        <v>0</v>
      </c>
      <c r="S24" s="417"/>
      <c r="T24" s="418"/>
      <c r="U24" s="288">
        <f>33.3*$B$25</f>
        <v>0</v>
      </c>
      <c r="V24" s="288">
        <f>33.3*$B$25</f>
        <v>0</v>
      </c>
      <c r="W24" s="288">
        <f>33.3*$B$25</f>
        <v>0</v>
      </c>
      <c r="X24" s="288"/>
      <c r="Y24" s="288">
        <f>3400*$B$25^(2/3)</f>
        <v>0</v>
      </c>
      <c r="Z24" s="289"/>
    </row>
    <row r="25" spans="1:44" s="276" customFormat="1" ht="12.75" customHeight="1" x14ac:dyDescent="0.2">
      <c r="A25" s="350"/>
      <c r="B25" s="137">
        <f>EMISSIONS1!B25</f>
        <v>0</v>
      </c>
      <c r="C25" s="137"/>
      <c r="D25" s="11"/>
      <c r="E25" s="11"/>
      <c r="F25" s="136"/>
      <c r="G25" s="11"/>
      <c r="H25" s="72"/>
      <c r="I25" s="321"/>
      <c r="J25" s="387"/>
      <c r="K25" s="416"/>
      <c r="L25" s="153"/>
      <c r="M25" s="153"/>
      <c r="N25" s="153"/>
      <c r="O25" s="153"/>
      <c r="P25" s="153"/>
      <c r="Q25" s="351"/>
      <c r="R25" s="352"/>
      <c r="S25" s="419"/>
      <c r="T25" s="420"/>
      <c r="U25" s="353"/>
      <c r="V25" s="353"/>
      <c r="W25" s="353"/>
      <c r="X25" s="353"/>
      <c r="Y25" s="353"/>
      <c r="Z25" s="354"/>
      <c r="AA25" s="275"/>
      <c r="AB25" s="275"/>
      <c r="AC25" s="275"/>
      <c r="AD25" s="275"/>
      <c r="AE25" s="275"/>
      <c r="AF25" s="275"/>
      <c r="AG25" s="275"/>
      <c r="AH25" s="275"/>
      <c r="AI25" s="275"/>
      <c r="AJ25" s="275"/>
      <c r="AK25" s="275"/>
      <c r="AL25" s="275"/>
      <c r="AM25" s="275"/>
      <c r="AN25" s="275"/>
      <c r="AO25" s="275"/>
      <c r="AP25" s="275"/>
      <c r="AQ25" s="275"/>
      <c r="AR25" s="275"/>
    </row>
    <row r="26" spans="1:44" s="183" customFormat="1" ht="12.75" customHeight="1" x14ac:dyDescent="0.2">
      <c r="A26" s="174" t="s">
        <v>61</v>
      </c>
      <c r="B26" s="175" t="s">
        <v>114</v>
      </c>
      <c r="C26" s="175"/>
      <c r="D26" s="176">
        <v>0</v>
      </c>
      <c r="E26" s="177">
        <f>FACTORS!$I$2*D26</f>
        <v>0</v>
      </c>
      <c r="F26" s="178">
        <f t="shared" ref="F26:F32" si="14">E26*24</f>
        <v>0</v>
      </c>
      <c r="G26" s="179">
        <v>0</v>
      </c>
      <c r="H26" s="180">
        <v>0</v>
      </c>
      <c r="I26" s="184">
        <f>FACTORS!$C$17*D26/453.592</f>
        <v>0</v>
      </c>
      <c r="J26" s="332">
        <f>FACTORS!$D$17*D26/453.592</f>
        <v>0</v>
      </c>
      <c r="K26" s="246">
        <f>FACTORS!$E$17*D26/453.592</f>
        <v>0</v>
      </c>
      <c r="L26" s="181">
        <f>FACTORS!$F$17*D26/453.592</f>
        <v>0</v>
      </c>
      <c r="M26" s="181">
        <f>FACTORS!$G$17*D26/453.592</f>
        <v>0</v>
      </c>
      <c r="N26" s="178">
        <f>FACTORS!$H$17*D26/453.592</f>
        <v>0</v>
      </c>
      <c r="O26" s="181">
        <f>FACTORS!$I$17*D26/453.592</f>
        <v>0</v>
      </c>
      <c r="P26" s="181">
        <f>FACTORS!$J$17*D26/453.592</f>
        <v>0</v>
      </c>
      <c r="Q26" s="191">
        <f>FACTORS!$K$17*D26/453.592</f>
        <v>0</v>
      </c>
      <c r="R26" s="184">
        <f t="shared" ref="R26:W32" si="15">IF(I26=0,0,I26*($F26/($E26*24))*$G26*$H26/2000)</f>
        <v>0</v>
      </c>
      <c r="S26" s="332">
        <f t="shared" si="15"/>
        <v>0</v>
      </c>
      <c r="T26" s="246">
        <f t="shared" si="15"/>
        <v>0</v>
      </c>
      <c r="U26" s="181">
        <f t="shared" si="15"/>
        <v>0</v>
      </c>
      <c r="V26" s="181">
        <f t="shared" si="15"/>
        <v>0</v>
      </c>
      <c r="W26" s="181">
        <f t="shared" si="15"/>
        <v>0</v>
      </c>
      <c r="X26" s="181">
        <f t="shared" ref="X26:X32" si="16">IFERROR(IF(O26=0,0,O26*($F26/($E26*24))*$G26*$H26/2000),"--")</f>
        <v>0</v>
      </c>
      <c r="Y26" s="181">
        <f t="shared" ref="Y26:Y32" si="17">IF(P26=0,0,P26*($F26/($E26*24))*$G26*$H26/2000)</f>
        <v>0</v>
      </c>
      <c r="Z26" s="182">
        <f t="shared" ref="Z26:Z32" si="18">IFERROR(IF(Q26=0,0,Q26*($F26/($E26*24))*$G26*$H26/2000),"--")</f>
        <v>0</v>
      </c>
      <c r="AA26" s="256"/>
      <c r="AB26" s="256"/>
      <c r="AC26" s="256"/>
      <c r="AD26" s="256"/>
      <c r="AE26" s="256"/>
      <c r="AF26" s="256"/>
      <c r="AG26" s="256"/>
      <c r="AH26" s="256"/>
      <c r="AI26" s="256"/>
      <c r="AJ26" s="256"/>
      <c r="AK26" s="256"/>
      <c r="AL26" s="256"/>
      <c r="AM26" s="256"/>
      <c r="AN26" s="256"/>
      <c r="AO26" s="256"/>
      <c r="AP26" s="256"/>
      <c r="AQ26" s="256"/>
      <c r="AR26" s="256"/>
    </row>
    <row r="27" spans="1:44" s="183" customFormat="1" x14ac:dyDescent="0.2">
      <c r="A27" s="174"/>
      <c r="B27" s="175" t="s">
        <v>115</v>
      </c>
      <c r="C27" s="175"/>
      <c r="D27" s="176">
        <v>0</v>
      </c>
      <c r="E27" s="177">
        <f>FACTORS!$I$2*D27</f>
        <v>0</v>
      </c>
      <c r="F27" s="178">
        <f t="shared" si="14"/>
        <v>0</v>
      </c>
      <c r="G27" s="176">
        <v>0</v>
      </c>
      <c r="H27" s="180">
        <v>0</v>
      </c>
      <c r="I27" s="184">
        <f>FACTORS!$C$17*D27/453.592</f>
        <v>0</v>
      </c>
      <c r="J27" s="181">
        <f>FACTORS!$D$17*D27/453.592</f>
        <v>0</v>
      </c>
      <c r="K27" s="246">
        <f>FACTORS!$E$17*D27/453.592</f>
        <v>0</v>
      </c>
      <c r="L27" s="181">
        <f>FACTORS!$F$17*D27/453.592</f>
        <v>0</v>
      </c>
      <c r="M27" s="181">
        <f>FACTORS!$G$17*D27/453.592</f>
        <v>0</v>
      </c>
      <c r="N27" s="178">
        <f>FACTORS!$H$17*D27/453.592</f>
        <v>0</v>
      </c>
      <c r="O27" s="181">
        <f>FACTORS!$I$17*D27/453.592</f>
        <v>0</v>
      </c>
      <c r="P27" s="181">
        <f>FACTORS!$J$17*D27/453.592</f>
        <v>0</v>
      </c>
      <c r="Q27" s="191">
        <f>FACTORS!$K$17*D27/453.592</f>
        <v>0</v>
      </c>
      <c r="R27" s="184">
        <f t="shared" si="15"/>
        <v>0</v>
      </c>
      <c r="S27" s="181">
        <f t="shared" si="15"/>
        <v>0</v>
      </c>
      <c r="T27" s="181">
        <f t="shared" si="15"/>
        <v>0</v>
      </c>
      <c r="U27" s="181">
        <f t="shared" si="15"/>
        <v>0</v>
      </c>
      <c r="V27" s="181">
        <f t="shared" si="15"/>
        <v>0</v>
      </c>
      <c r="W27" s="181">
        <f t="shared" si="15"/>
        <v>0</v>
      </c>
      <c r="X27" s="181">
        <f t="shared" si="16"/>
        <v>0</v>
      </c>
      <c r="Y27" s="181">
        <f t="shared" si="17"/>
        <v>0</v>
      </c>
      <c r="Z27" s="182">
        <f t="shared" si="18"/>
        <v>0</v>
      </c>
      <c r="AA27" s="256"/>
      <c r="AB27" s="256"/>
      <c r="AC27" s="256"/>
      <c r="AD27" s="256"/>
      <c r="AE27" s="256"/>
      <c r="AF27" s="256"/>
      <c r="AG27" s="256"/>
      <c r="AH27" s="256"/>
      <c r="AI27" s="256"/>
      <c r="AJ27" s="256"/>
      <c r="AK27" s="256"/>
      <c r="AL27" s="256"/>
      <c r="AM27" s="256"/>
      <c r="AN27" s="256"/>
      <c r="AO27" s="256"/>
      <c r="AP27" s="256"/>
      <c r="AQ27" s="256"/>
      <c r="AR27" s="256"/>
    </row>
    <row r="28" spans="1:44" s="183" customFormat="1" x14ac:dyDescent="0.2">
      <c r="A28" s="174"/>
      <c r="B28" s="175" t="s">
        <v>116</v>
      </c>
      <c r="C28" s="175"/>
      <c r="D28" s="176">
        <v>0</v>
      </c>
      <c r="E28" s="177">
        <f>FACTORS!$I$2*D28</f>
        <v>0</v>
      </c>
      <c r="F28" s="178">
        <f t="shared" si="14"/>
        <v>0</v>
      </c>
      <c r="G28" s="176">
        <v>0</v>
      </c>
      <c r="H28" s="180">
        <v>0</v>
      </c>
      <c r="I28" s="184">
        <f>FACTORS!$C$17*D28/453.592</f>
        <v>0</v>
      </c>
      <c r="J28" s="181">
        <f>FACTORS!$D$17*D28/453.592</f>
        <v>0</v>
      </c>
      <c r="K28" s="246">
        <f>FACTORS!$E$17*D28/453.592</f>
        <v>0</v>
      </c>
      <c r="L28" s="181">
        <f>FACTORS!$F$17*D28/453.592</f>
        <v>0</v>
      </c>
      <c r="M28" s="181">
        <f>FACTORS!$G$17*D28/453.592</f>
        <v>0</v>
      </c>
      <c r="N28" s="178">
        <f>FACTORS!$H$17*D28/453.592</f>
        <v>0</v>
      </c>
      <c r="O28" s="181">
        <f>FACTORS!$I$17*D28/453.592</f>
        <v>0</v>
      </c>
      <c r="P28" s="181">
        <f>FACTORS!$J$17*D28/453.592</f>
        <v>0</v>
      </c>
      <c r="Q28" s="191">
        <f>FACTORS!$K$17*D28/453.592</f>
        <v>0</v>
      </c>
      <c r="R28" s="184">
        <f t="shared" si="15"/>
        <v>0</v>
      </c>
      <c r="S28" s="181">
        <f t="shared" si="15"/>
        <v>0</v>
      </c>
      <c r="T28" s="181">
        <f t="shared" si="15"/>
        <v>0</v>
      </c>
      <c r="U28" s="181">
        <f t="shared" si="15"/>
        <v>0</v>
      </c>
      <c r="V28" s="181">
        <f t="shared" si="15"/>
        <v>0</v>
      </c>
      <c r="W28" s="181">
        <f t="shared" si="15"/>
        <v>0</v>
      </c>
      <c r="X28" s="181">
        <f t="shared" si="16"/>
        <v>0</v>
      </c>
      <c r="Y28" s="181">
        <f t="shared" si="17"/>
        <v>0</v>
      </c>
      <c r="Z28" s="182">
        <f t="shared" si="18"/>
        <v>0</v>
      </c>
      <c r="AA28" s="256"/>
      <c r="AB28" s="256"/>
      <c r="AC28" s="256"/>
      <c r="AD28" s="256"/>
      <c r="AE28" s="256"/>
      <c r="AF28" s="256"/>
      <c r="AG28" s="256"/>
      <c r="AH28" s="256"/>
      <c r="AI28" s="256"/>
      <c r="AJ28" s="256"/>
      <c r="AK28" s="256"/>
      <c r="AL28" s="256"/>
      <c r="AM28" s="256"/>
      <c r="AN28" s="256"/>
      <c r="AO28" s="256"/>
      <c r="AP28" s="256"/>
      <c r="AQ28" s="256"/>
      <c r="AR28" s="256"/>
    </row>
    <row r="29" spans="1:44" s="183" customFormat="1" ht="12.75" customHeight="1" x14ac:dyDescent="0.2">
      <c r="A29" s="174" t="s">
        <v>63</v>
      </c>
      <c r="B29" s="175" t="s">
        <v>118</v>
      </c>
      <c r="C29" s="175"/>
      <c r="D29" s="176">
        <v>0</v>
      </c>
      <c r="E29" s="177">
        <f>FACTORS!$I$2*D29</f>
        <v>0</v>
      </c>
      <c r="F29" s="178">
        <f t="shared" si="14"/>
        <v>0</v>
      </c>
      <c r="G29" s="179">
        <v>0</v>
      </c>
      <c r="H29" s="180">
        <v>0</v>
      </c>
      <c r="I29" s="184">
        <f>FACTORS!$C$17*D29/453.592</f>
        <v>0</v>
      </c>
      <c r="J29" s="181">
        <f>FACTORS!$D$17*D29/453.592</f>
        <v>0</v>
      </c>
      <c r="K29" s="246">
        <f>FACTORS!$E$17*D29/453.592</f>
        <v>0</v>
      </c>
      <c r="L29" s="181">
        <f>FACTORS!$F$17*D29/453.592</f>
        <v>0</v>
      </c>
      <c r="M29" s="181">
        <f>FACTORS!$G$17*D29/453.592</f>
        <v>0</v>
      </c>
      <c r="N29" s="178">
        <f>FACTORS!$H$17*D29/453.592</f>
        <v>0</v>
      </c>
      <c r="O29" s="181">
        <f>FACTORS!$I$17*D29/453.592</f>
        <v>0</v>
      </c>
      <c r="P29" s="181">
        <f>FACTORS!$J$17*D29/453.592</f>
        <v>0</v>
      </c>
      <c r="Q29" s="191">
        <f>FACTORS!$K$17*D29/453.592</f>
        <v>0</v>
      </c>
      <c r="R29" s="184">
        <f t="shared" si="15"/>
        <v>0</v>
      </c>
      <c r="S29" s="181">
        <f t="shared" si="15"/>
        <v>0</v>
      </c>
      <c r="T29" s="181">
        <f t="shared" si="15"/>
        <v>0</v>
      </c>
      <c r="U29" s="181">
        <f t="shared" si="15"/>
        <v>0</v>
      </c>
      <c r="V29" s="181">
        <f t="shared" si="15"/>
        <v>0</v>
      </c>
      <c r="W29" s="181">
        <f t="shared" si="15"/>
        <v>0</v>
      </c>
      <c r="X29" s="181">
        <f t="shared" si="16"/>
        <v>0</v>
      </c>
      <c r="Y29" s="181">
        <f t="shared" si="17"/>
        <v>0</v>
      </c>
      <c r="Z29" s="182">
        <f t="shared" si="18"/>
        <v>0</v>
      </c>
      <c r="AA29" s="256"/>
      <c r="AB29" s="256"/>
      <c r="AC29" s="256"/>
      <c r="AD29" s="256"/>
      <c r="AE29" s="256"/>
      <c r="AF29" s="256"/>
      <c r="AG29" s="256"/>
      <c r="AH29" s="256"/>
      <c r="AI29" s="256"/>
      <c r="AJ29" s="256"/>
      <c r="AK29" s="256"/>
      <c r="AL29" s="256"/>
      <c r="AM29" s="256"/>
      <c r="AN29" s="256"/>
      <c r="AO29" s="256"/>
      <c r="AP29" s="256"/>
      <c r="AQ29" s="256"/>
      <c r="AR29" s="256"/>
    </row>
    <row r="30" spans="1:44" s="183" customFormat="1" ht="12.75" customHeight="1" x14ac:dyDescent="0.2">
      <c r="A30" s="174" t="s">
        <v>62</v>
      </c>
      <c r="B30" s="175" t="s">
        <v>117</v>
      </c>
      <c r="C30" s="175"/>
      <c r="D30" s="176">
        <v>0</v>
      </c>
      <c r="E30" s="177">
        <f>FACTORS!$I$2*D30</f>
        <v>0</v>
      </c>
      <c r="F30" s="178">
        <f t="shared" si="14"/>
        <v>0</v>
      </c>
      <c r="G30" s="179">
        <v>0</v>
      </c>
      <c r="H30" s="180">
        <v>0</v>
      </c>
      <c r="I30" s="184">
        <f>FACTORS!$C$17*D30/453.592</f>
        <v>0</v>
      </c>
      <c r="J30" s="181">
        <f>FACTORS!$D$17*D30/453.592</f>
        <v>0</v>
      </c>
      <c r="K30" s="246">
        <f>FACTORS!$E$17*D30/453.592</f>
        <v>0</v>
      </c>
      <c r="L30" s="181">
        <f>FACTORS!$F$17*D30/453.592</f>
        <v>0</v>
      </c>
      <c r="M30" s="181">
        <f>FACTORS!$G$17*D30/453.592</f>
        <v>0</v>
      </c>
      <c r="N30" s="178">
        <f>FACTORS!$H$17*D30/453.592</f>
        <v>0</v>
      </c>
      <c r="O30" s="181">
        <f>FACTORS!$I$17*D30/453.592</f>
        <v>0</v>
      </c>
      <c r="P30" s="181">
        <f>FACTORS!$J$17*D30/453.592</f>
        <v>0</v>
      </c>
      <c r="Q30" s="191">
        <f>FACTORS!$K$17*D30/453.592</f>
        <v>0</v>
      </c>
      <c r="R30" s="184">
        <f t="shared" si="15"/>
        <v>0</v>
      </c>
      <c r="S30" s="181">
        <f t="shared" si="15"/>
        <v>0</v>
      </c>
      <c r="T30" s="181">
        <f t="shared" si="15"/>
        <v>0</v>
      </c>
      <c r="U30" s="181">
        <f t="shared" si="15"/>
        <v>0</v>
      </c>
      <c r="V30" s="181">
        <f t="shared" si="15"/>
        <v>0</v>
      </c>
      <c r="W30" s="181">
        <f t="shared" si="15"/>
        <v>0</v>
      </c>
      <c r="X30" s="181">
        <f t="shared" si="16"/>
        <v>0</v>
      </c>
      <c r="Y30" s="181">
        <f t="shared" si="17"/>
        <v>0</v>
      </c>
      <c r="Z30" s="182">
        <f t="shared" si="18"/>
        <v>0</v>
      </c>
      <c r="AA30" s="256"/>
      <c r="AB30" s="256"/>
      <c r="AC30" s="256"/>
      <c r="AD30" s="256"/>
      <c r="AE30" s="256"/>
      <c r="AF30" s="256"/>
      <c r="AG30" s="256"/>
      <c r="AH30" s="256"/>
      <c r="AI30" s="256"/>
      <c r="AJ30" s="256"/>
      <c r="AK30" s="256"/>
      <c r="AL30" s="256"/>
      <c r="AM30" s="256"/>
      <c r="AN30" s="256"/>
      <c r="AO30" s="256"/>
      <c r="AP30" s="256"/>
      <c r="AQ30" s="256"/>
      <c r="AR30" s="256"/>
    </row>
    <row r="31" spans="1:44" s="183" customFormat="1" x14ac:dyDescent="0.2">
      <c r="A31" s="174"/>
      <c r="B31" s="175" t="s">
        <v>115</v>
      </c>
      <c r="C31" s="175"/>
      <c r="D31" s="176">
        <v>0</v>
      </c>
      <c r="E31" s="177">
        <f>FACTORS!$I$2*D31</f>
        <v>0</v>
      </c>
      <c r="F31" s="178">
        <f t="shared" si="14"/>
        <v>0</v>
      </c>
      <c r="G31" s="176">
        <v>0</v>
      </c>
      <c r="H31" s="180">
        <v>0</v>
      </c>
      <c r="I31" s="184">
        <f>FACTORS!$C$17*D31/453.592</f>
        <v>0</v>
      </c>
      <c r="J31" s="181">
        <f>FACTORS!$D$17*D31/453.592</f>
        <v>0</v>
      </c>
      <c r="K31" s="246">
        <f>FACTORS!$E$17*D31/453.592</f>
        <v>0</v>
      </c>
      <c r="L31" s="181">
        <f>FACTORS!$F$17*D31/453.592</f>
        <v>0</v>
      </c>
      <c r="M31" s="181">
        <f>FACTORS!$G$17*D31/453.592</f>
        <v>0</v>
      </c>
      <c r="N31" s="178">
        <f>FACTORS!$H$17*D31/453.592</f>
        <v>0</v>
      </c>
      <c r="O31" s="181">
        <f>FACTORS!$I$17*D31/453.592</f>
        <v>0</v>
      </c>
      <c r="P31" s="181">
        <f>FACTORS!$J$17*D31/453.592</f>
        <v>0</v>
      </c>
      <c r="Q31" s="191">
        <f>FACTORS!$K$17*D31/453.592</f>
        <v>0</v>
      </c>
      <c r="R31" s="184">
        <f t="shared" si="15"/>
        <v>0</v>
      </c>
      <c r="S31" s="181">
        <f t="shared" si="15"/>
        <v>0</v>
      </c>
      <c r="T31" s="181">
        <f t="shared" si="15"/>
        <v>0</v>
      </c>
      <c r="U31" s="181">
        <f t="shared" si="15"/>
        <v>0</v>
      </c>
      <c r="V31" s="181">
        <f t="shared" si="15"/>
        <v>0</v>
      </c>
      <c r="W31" s="181">
        <f t="shared" si="15"/>
        <v>0</v>
      </c>
      <c r="X31" s="181">
        <f t="shared" si="16"/>
        <v>0</v>
      </c>
      <c r="Y31" s="181">
        <f t="shared" si="17"/>
        <v>0</v>
      </c>
      <c r="Z31" s="182">
        <f t="shared" si="18"/>
        <v>0</v>
      </c>
      <c r="AA31" s="256"/>
      <c r="AB31" s="256"/>
      <c r="AC31" s="256"/>
      <c r="AD31" s="256"/>
      <c r="AE31" s="256"/>
      <c r="AF31" s="256"/>
      <c r="AG31" s="256"/>
      <c r="AH31" s="256"/>
      <c r="AI31" s="256"/>
      <c r="AJ31" s="256"/>
      <c r="AK31" s="256"/>
      <c r="AL31" s="256"/>
      <c r="AM31" s="256"/>
      <c r="AN31" s="256"/>
      <c r="AO31" s="256"/>
      <c r="AP31" s="256"/>
      <c r="AQ31" s="256"/>
      <c r="AR31" s="256"/>
    </row>
    <row r="32" spans="1:44" s="183" customFormat="1" ht="12.75" customHeight="1" x14ac:dyDescent="0.2">
      <c r="A32" s="339" t="s">
        <v>64</v>
      </c>
      <c r="B32" s="340" t="s">
        <v>119</v>
      </c>
      <c r="C32" s="340"/>
      <c r="D32" s="341">
        <v>0</v>
      </c>
      <c r="E32" s="342">
        <f>FACTORS!$I$2*D32</f>
        <v>0</v>
      </c>
      <c r="F32" s="343">
        <f t="shared" si="14"/>
        <v>0</v>
      </c>
      <c r="G32" s="344">
        <v>0</v>
      </c>
      <c r="H32" s="345">
        <v>0</v>
      </c>
      <c r="I32" s="346">
        <f>FACTORS!$C$17*D32/453.592</f>
        <v>0</v>
      </c>
      <c r="J32" s="347">
        <f>FACTORS!$D$17*D32/453.592</f>
        <v>0</v>
      </c>
      <c r="K32" s="427">
        <f>FACTORS!$E$17*D32/453.592</f>
        <v>0</v>
      </c>
      <c r="L32" s="347">
        <f>FACTORS!$F$17*D32/453.592</f>
        <v>0</v>
      </c>
      <c r="M32" s="347">
        <f>FACTORS!$G$17*D32/453.592</f>
        <v>0</v>
      </c>
      <c r="N32" s="343">
        <f>FACTORS!$H$17*D32/453.592</f>
        <v>0</v>
      </c>
      <c r="O32" s="347">
        <f>FACTORS!$I$17*D32/453.592</f>
        <v>0</v>
      </c>
      <c r="P32" s="347">
        <f>FACTORS!$J$17*D32/453.592</f>
        <v>0</v>
      </c>
      <c r="Q32" s="348">
        <f>FACTORS!$K$17*D32/453.592</f>
        <v>0</v>
      </c>
      <c r="R32" s="346">
        <f t="shared" si="15"/>
        <v>0</v>
      </c>
      <c r="S32" s="347">
        <f t="shared" si="15"/>
        <v>0</v>
      </c>
      <c r="T32" s="347">
        <f>IF(K32=0,0,K32*($F32/($E32*24))*$G32*$H32/2000)</f>
        <v>0</v>
      </c>
      <c r="U32" s="347">
        <f t="shared" si="15"/>
        <v>0</v>
      </c>
      <c r="V32" s="347">
        <f t="shared" si="15"/>
        <v>0</v>
      </c>
      <c r="W32" s="347">
        <f t="shared" si="15"/>
        <v>0</v>
      </c>
      <c r="X32" s="347">
        <f t="shared" si="16"/>
        <v>0</v>
      </c>
      <c r="Y32" s="347">
        <f t="shared" si="17"/>
        <v>0</v>
      </c>
      <c r="Z32" s="349">
        <f t="shared" si="18"/>
        <v>0</v>
      </c>
      <c r="AA32" s="256"/>
      <c r="AB32" s="256"/>
      <c r="AC32" s="256"/>
      <c r="AD32" s="256"/>
      <c r="AE32" s="256"/>
      <c r="AF32" s="256"/>
      <c r="AG32" s="256"/>
      <c r="AH32" s="256"/>
      <c r="AI32" s="256"/>
      <c r="AJ32" s="256"/>
      <c r="AK32" s="256"/>
      <c r="AL32" s="256"/>
      <c r="AM32" s="256"/>
      <c r="AN32" s="256"/>
      <c r="AO32" s="256"/>
      <c r="AP32" s="256"/>
      <c r="AQ32" s="256"/>
      <c r="AR32" s="256"/>
    </row>
    <row r="33" spans="1:44" ht="27.75" customHeight="1" x14ac:dyDescent="0.2">
      <c r="A33" s="361" t="s">
        <v>184</v>
      </c>
      <c r="B33" s="363" t="s">
        <v>107</v>
      </c>
      <c r="C33" s="111"/>
      <c r="D33" s="122"/>
      <c r="E33" s="42" t="s">
        <v>53</v>
      </c>
      <c r="F33" s="43" t="s">
        <v>54</v>
      </c>
      <c r="G33" s="50"/>
      <c r="H33" s="119"/>
      <c r="I33" s="158"/>
      <c r="J33" s="387"/>
      <c r="K33" s="416"/>
      <c r="L33" s="153"/>
      <c r="M33" s="153"/>
      <c r="N33" s="73"/>
      <c r="O33" s="153"/>
      <c r="P33" s="153"/>
      <c r="Q33" s="120"/>
      <c r="R33" s="158"/>
      <c r="S33" s="387"/>
      <c r="T33" s="387"/>
      <c r="U33" s="153"/>
      <c r="V33" s="153"/>
      <c r="W33" s="153"/>
      <c r="X33" s="153"/>
      <c r="Y33" s="153"/>
      <c r="Z33" s="322"/>
    </row>
    <row r="34" spans="1:44" ht="12.75" customHeight="1" x14ac:dyDescent="0.2">
      <c r="A34" s="330"/>
      <c r="B34" s="364" t="s">
        <v>148</v>
      </c>
      <c r="C34" s="333"/>
      <c r="D34" s="334" t="s">
        <v>132</v>
      </c>
      <c r="E34" s="74"/>
      <c r="F34" s="74"/>
      <c r="G34" s="335"/>
      <c r="H34" s="336"/>
      <c r="I34" s="337"/>
      <c r="J34" s="423"/>
      <c r="K34" s="424"/>
      <c r="L34" s="68"/>
      <c r="M34" s="68"/>
      <c r="N34" s="329"/>
      <c r="O34" s="68"/>
      <c r="P34" s="68"/>
      <c r="Q34" s="338"/>
      <c r="R34" s="337"/>
      <c r="S34" s="423"/>
      <c r="T34" s="423"/>
      <c r="U34" s="68"/>
      <c r="V34" s="68"/>
      <c r="W34" s="68"/>
      <c r="X34" s="68"/>
      <c r="Y34" s="68"/>
      <c r="Z34" s="69"/>
    </row>
    <row r="35" spans="1:44" ht="12.75" customHeight="1" x14ac:dyDescent="0.2">
      <c r="A35" s="330"/>
      <c r="B35" s="363" t="s">
        <v>160</v>
      </c>
      <c r="C35" s="157"/>
      <c r="D35" s="122" t="s">
        <v>100</v>
      </c>
      <c r="E35" s="74"/>
      <c r="F35" s="74"/>
      <c r="G35" s="70" t="s">
        <v>60</v>
      </c>
      <c r="H35" s="119" t="s">
        <v>71</v>
      </c>
      <c r="I35" s="158"/>
      <c r="J35" s="387"/>
      <c r="K35" s="416"/>
      <c r="L35" s="153"/>
      <c r="M35" s="153"/>
      <c r="N35" s="73"/>
      <c r="O35" s="153"/>
      <c r="P35" s="153"/>
      <c r="Q35" s="120"/>
      <c r="R35" s="319"/>
      <c r="S35" s="423"/>
      <c r="T35" s="424"/>
      <c r="U35" s="68"/>
      <c r="V35" s="68"/>
      <c r="W35" s="68"/>
      <c r="X35" s="68"/>
      <c r="Y35" s="68"/>
      <c r="Z35" s="69"/>
    </row>
    <row r="36" spans="1:44" s="183" customFormat="1" ht="12.75" customHeight="1" x14ac:dyDescent="0.2">
      <c r="A36" s="174"/>
      <c r="B36" s="242" t="s">
        <v>153</v>
      </c>
      <c r="C36" s="323"/>
      <c r="D36" s="244"/>
      <c r="E36" s="176">
        <v>0</v>
      </c>
      <c r="F36" s="245">
        <f>E36*24</f>
        <v>0</v>
      </c>
      <c r="G36" s="176">
        <v>0</v>
      </c>
      <c r="H36" s="180">
        <v>0</v>
      </c>
      <c r="I36" s="184">
        <f>IFERROR(FACTORS!$C$34*E36,"--")</f>
        <v>0</v>
      </c>
      <c r="J36" s="181">
        <f>IFERROR(FACTORS!$D$34*E36,"--")</f>
        <v>0</v>
      </c>
      <c r="K36" s="246">
        <f>IFERROR(FACTORS!$E$34*E36,"--")</f>
        <v>0</v>
      </c>
      <c r="L36" s="178">
        <f>IFERROR(FACTORS!$F$34*E36,"--")</f>
        <v>0</v>
      </c>
      <c r="M36" s="178">
        <f>IFERROR(FACTORS!$G$34*E36,"--")</f>
        <v>0</v>
      </c>
      <c r="N36" s="178">
        <f>IFERROR(FACTORS!$H$34*E36,"--")</f>
        <v>0</v>
      </c>
      <c r="O36" s="181" t="str">
        <f>IFERROR(FACTORS!$I$34*E36,"--")</f>
        <v>--</v>
      </c>
      <c r="P36" s="181">
        <f>IFERROR(FACTORS!$J$34*E36,"--")</f>
        <v>0</v>
      </c>
      <c r="Q36" s="191">
        <f>IFERROR(FACTORS!$K$34*E36,"--")</f>
        <v>0</v>
      </c>
      <c r="R36" s="331">
        <f t="shared" ref="R36:S42" si="19">IFERROR((I36*$G36*$H36)/2000, "")</f>
        <v>0</v>
      </c>
      <c r="S36" s="332">
        <f>IFERROR((J36*$G36*$H36)/2000, "")</f>
        <v>0</v>
      </c>
      <c r="T36" s="317">
        <f t="shared" ref="T36:W43" si="20">IFERROR((K36*$G36*$H36)/2000, "")</f>
        <v>0</v>
      </c>
      <c r="U36" s="317">
        <f t="shared" si="20"/>
        <v>0</v>
      </c>
      <c r="V36" s="317">
        <f t="shared" si="20"/>
        <v>0</v>
      </c>
      <c r="W36" s="317">
        <f t="shared" si="20"/>
        <v>0</v>
      </c>
      <c r="X36" s="317" t="str">
        <f t="shared" ref="X36:X43" si="21">IFERROR((O36*$G36*$H36)/2000, "--")</f>
        <v>--</v>
      </c>
      <c r="Y36" s="317">
        <f t="shared" ref="Y36:Z43" si="22">IFERROR((P36*$G36*$H36)/2000, "")</f>
        <v>0</v>
      </c>
      <c r="Z36" s="318">
        <f t="shared" si="22"/>
        <v>0</v>
      </c>
      <c r="AA36" s="256"/>
      <c r="AB36" s="256"/>
      <c r="AC36" s="256"/>
      <c r="AD36" s="256"/>
      <c r="AE36" s="256"/>
      <c r="AF36" s="256"/>
      <c r="AG36" s="256"/>
      <c r="AH36" s="256"/>
      <c r="AI36" s="256"/>
      <c r="AJ36" s="256"/>
      <c r="AK36" s="256"/>
      <c r="AL36" s="256"/>
      <c r="AM36" s="256"/>
      <c r="AN36" s="256"/>
      <c r="AO36" s="256"/>
      <c r="AP36" s="256"/>
      <c r="AQ36" s="256"/>
      <c r="AR36" s="256"/>
    </row>
    <row r="37" spans="1:44" s="183" customFormat="1" ht="12.75" customHeight="1" x14ac:dyDescent="0.2">
      <c r="A37" s="174"/>
      <c r="B37" s="242" t="s">
        <v>87</v>
      </c>
      <c r="C37" s="243"/>
      <c r="D37" s="244"/>
      <c r="E37" s="176">
        <v>0</v>
      </c>
      <c r="F37" s="245">
        <f>E37*24</f>
        <v>0</v>
      </c>
      <c r="G37" s="176">
        <v>0</v>
      </c>
      <c r="H37" s="180">
        <v>0</v>
      </c>
      <c r="I37" s="184">
        <f>IFERROR(FACTORS!$C$35*E37,"--")</f>
        <v>0</v>
      </c>
      <c r="J37" s="181">
        <f>IFERROR(FACTORS!$D$35*E37,"--")</f>
        <v>0</v>
      </c>
      <c r="K37" s="246">
        <f>IFERROR(FACTORS!$E$35*E37,"--")</f>
        <v>0</v>
      </c>
      <c r="L37" s="178">
        <f>IFERROR(FACTORS!$F$35*E37,"--")</f>
        <v>0</v>
      </c>
      <c r="M37" s="178">
        <f>IFERROR(FACTORS!$G$35*E37,"--")</f>
        <v>0</v>
      </c>
      <c r="N37" s="178">
        <f>IFERROR(FACTORS!$H$35*E37,"--")</f>
        <v>0</v>
      </c>
      <c r="O37" s="181" t="str">
        <f>IFERROR(FACTORS!$I$35*E37,"--")</f>
        <v>--</v>
      </c>
      <c r="P37" s="181">
        <f>IFERROR(FACTORS!$J$35*E37,"--")</f>
        <v>0</v>
      </c>
      <c r="Q37" s="191">
        <f>IFERROR(FACTORS!$K$35*E37,"--")</f>
        <v>0</v>
      </c>
      <c r="R37" s="184">
        <f t="shared" si="19"/>
        <v>0</v>
      </c>
      <c r="S37" s="181">
        <f t="shared" si="19"/>
        <v>0</v>
      </c>
      <c r="T37" s="246">
        <f t="shared" si="20"/>
        <v>0</v>
      </c>
      <c r="U37" s="246">
        <f t="shared" si="20"/>
        <v>0</v>
      </c>
      <c r="V37" s="246">
        <f t="shared" si="20"/>
        <v>0</v>
      </c>
      <c r="W37" s="246">
        <f t="shared" si="20"/>
        <v>0</v>
      </c>
      <c r="X37" s="246" t="str">
        <f t="shared" si="21"/>
        <v>--</v>
      </c>
      <c r="Y37" s="246">
        <f t="shared" si="22"/>
        <v>0</v>
      </c>
      <c r="Z37" s="182">
        <f t="shared" si="22"/>
        <v>0</v>
      </c>
      <c r="AA37" s="256"/>
      <c r="AB37" s="256"/>
      <c r="AC37" s="256"/>
      <c r="AD37" s="256"/>
      <c r="AE37" s="256"/>
      <c r="AF37" s="256"/>
      <c r="AG37" s="256"/>
      <c r="AH37" s="256"/>
      <c r="AI37" s="256"/>
      <c r="AJ37" s="256"/>
      <c r="AK37" s="256"/>
      <c r="AL37" s="256"/>
      <c r="AM37" s="256"/>
      <c r="AN37" s="256"/>
      <c r="AO37" s="256"/>
      <c r="AP37" s="256"/>
      <c r="AQ37" s="256"/>
      <c r="AR37" s="256"/>
    </row>
    <row r="38" spans="1:44" s="183" customFormat="1" ht="12.75" customHeight="1" x14ac:dyDescent="0.2">
      <c r="A38" s="174"/>
      <c r="B38" s="242" t="s">
        <v>102</v>
      </c>
      <c r="C38" s="243"/>
      <c r="D38" s="244"/>
      <c r="E38" s="176">
        <v>0</v>
      </c>
      <c r="F38" s="245">
        <f t="shared" ref="F38:F41" si="23">E38*24</f>
        <v>0</v>
      </c>
      <c r="G38" s="176">
        <v>0</v>
      </c>
      <c r="H38" s="180">
        <v>0</v>
      </c>
      <c r="I38" s="184">
        <f>IFERROR(FACTORS!$C$36*E38,"--")</f>
        <v>0</v>
      </c>
      <c r="J38" s="181">
        <f>IFERROR(FACTORS!$D$36*E38,"--")</f>
        <v>0</v>
      </c>
      <c r="K38" s="246">
        <f>IFERROR(FACTORS!$E$36*E38,"--")</f>
        <v>0</v>
      </c>
      <c r="L38" s="178">
        <f>IFERROR(FACTORS!$F$36*E38,"--")</f>
        <v>0</v>
      </c>
      <c r="M38" s="178">
        <f>IFERROR(FACTORS!$G$36*E38,"--")</f>
        <v>0</v>
      </c>
      <c r="N38" s="178">
        <f>IFERROR(FACTORS!$H$36*E38,"--")</f>
        <v>0</v>
      </c>
      <c r="O38" s="181" t="str">
        <f>IFERROR(FACTORS!$I$36*E38,"--")</f>
        <v>--</v>
      </c>
      <c r="P38" s="181">
        <f>IFERROR(FACTORS!$J$36*E38,"--")</f>
        <v>0</v>
      </c>
      <c r="Q38" s="191">
        <f>IFERROR(FACTORS!$K$36*E38,"--")</f>
        <v>0</v>
      </c>
      <c r="R38" s="184">
        <f t="shared" si="19"/>
        <v>0</v>
      </c>
      <c r="S38" s="181">
        <f t="shared" si="19"/>
        <v>0</v>
      </c>
      <c r="T38" s="246">
        <f t="shared" si="20"/>
        <v>0</v>
      </c>
      <c r="U38" s="246">
        <f t="shared" si="20"/>
        <v>0</v>
      </c>
      <c r="V38" s="246">
        <f t="shared" si="20"/>
        <v>0</v>
      </c>
      <c r="W38" s="246">
        <f t="shared" si="20"/>
        <v>0</v>
      </c>
      <c r="X38" s="246" t="str">
        <f t="shared" si="21"/>
        <v>--</v>
      </c>
      <c r="Y38" s="246">
        <f t="shared" si="22"/>
        <v>0</v>
      </c>
      <c r="Z38" s="182">
        <f t="shared" si="22"/>
        <v>0</v>
      </c>
      <c r="AA38" s="256"/>
      <c r="AB38" s="256"/>
      <c r="AC38" s="256"/>
      <c r="AD38" s="256"/>
      <c r="AE38" s="256"/>
      <c r="AF38" s="256"/>
      <c r="AG38" s="256"/>
      <c r="AH38" s="256"/>
      <c r="AI38" s="256"/>
      <c r="AJ38" s="256"/>
      <c r="AK38" s="256"/>
      <c r="AL38" s="256"/>
      <c r="AM38" s="256"/>
      <c r="AN38" s="256"/>
      <c r="AO38" s="256"/>
      <c r="AP38" s="256"/>
      <c r="AQ38" s="256"/>
      <c r="AR38" s="256"/>
    </row>
    <row r="39" spans="1:44" s="183" customFormat="1" ht="12.75" customHeight="1" x14ac:dyDescent="0.2">
      <c r="A39" s="174"/>
      <c r="B39" s="242" t="s">
        <v>154</v>
      </c>
      <c r="C39" s="243"/>
      <c r="D39" s="244"/>
      <c r="E39" s="176">
        <v>0</v>
      </c>
      <c r="F39" s="245">
        <f t="shared" si="23"/>
        <v>0</v>
      </c>
      <c r="G39" s="176">
        <v>0</v>
      </c>
      <c r="H39" s="180">
        <v>0</v>
      </c>
      <c r="I39" s="184">
        <f>IFERROR(FACTORS!$C$37*E39,"--")</f>
        <v>0</v>
      </c>
      <c r="J39" s="181">
        <f>IFERROR(FACTORS!$D$37*E39,"--")</f>
        <v>0</v>
      </c>
      <c r="K39" s="246">
        <f>IFERROR(FACTORS!$E$37*E39,"--")</f>
        <v>0</v>
      </c>
      <c r="L39" s="178">
        <f>IFERROR(FACTORS!$F$37*E39,"--")</f>
        <v>0</v>
      </c>
      <c r="M39" s="178">
        <f>IFERROR(FACTORS!$G$37*E39,"--")</f>
        <v>0</v>
      </c>
      <c r="N39" s="178">
        <f>IFERROR(FACTORS!$H$37*E39,"--")</f>
        <v>0</v>
      </c>
      <c r="O39" s="181" t="str">
        <f>IFERROR(FACTORS!$I$37*E39,"--")</f>
        <v>--</v>
      </c>
      <c r="P39" s="181">
        <f>IFERROR(FACTORS!$J$37*E39,"--")</f>
        <v>0</v>
      </c>
      <c r="Q39" s="191">
        <f>IFERROR(FACTORS!$K$37*E39,"--")</f>
        <v>0</v>
      </c>
      <c r="R39" s="184">
        <f t="shared" si="19"/>
        <v>0</v>
      </c>
      <c r="S39" s="181">
        <f t="shared" si="19"/>
        <v>0</v>
      </c>
      <c r="T39" s="246">
        <f t="shared" si="20"/>
        <v>0</v>
      </c>
      <c r="U39" s="246">
        <f t="shared" si="20"/>
        <v>0</v>
      </c>
      <c r="V39" s="246">
        <f t="shared" si="20"/>
        <v>0</v>
      </c>
      <c r="W39" s="246">
        <f t="shared" si="20"/>
        <v>0</v>
      </c>
      <c r="X39" s="246" t="str">
        <f t="shared" si="21"/>
        <v>--</v>
      </c>
      <c r="Y39" s="246">
        <f t="shared" si="22"/>
        <v>0</v>
      </c>
      <c r="Z39" s="182">
        <f t="shared" si="22"/>
        <v>0</v>
      </c>
      <c r="AA39" s="256"/>
      <c r="AB39" s="256"/>
      <c r="AC39" s="256"/>
      <c r="AD39" s="256"/>
      <c r="AE39" s="256"/>
      <c r="AF39" s="256"/>
      <c r="AG39" s="256"/>
      <c r="AH39" s="256"/>
      <c r="AI39" s="256"/>
      <c r="AJ39" s="256"/>
      <c r="AK39" s="256"/>
      <c r="AL39" s="256"/>
      <c r="AM39" s="256"/>
      <c r="AN39" s="256"/>
      <c r="AO39" s="256"/>
      <c r="AP39" s="256"/>
      <c r="AQ39" s="256"/>
      <c r="AR39" s="256"/>
    </row>
    <row r="40" spans="1:44" s="183" customFormat="1" ht="12.75" customHeight="1" x14ac:dyDescent="0.2">
      <c r="A40" s="174"/>
      <c r="B40" s="242" t="s">
        <v>89</v>
      </c>
      <c r="C40" s="243"/>
      <c r="D40" s="244"/>
      <c r="E40" s="176">
        <v>0</v>
      </c>
      <c r="F40" s="245">
        <f t="shared" si="23"/>
        <v>0</v>
      </c>
      <c r="G40" s="176">
        <v>0</v>
      </c>
      <c r="H40" s="180">
        <v>0</v>
      </c>
      <c r="I40" s="184">
        <f>IFERROR(FACTORS!$C$38*E40,"--")</f>
        <v>0</v>
      </c>
      <c r="J40" s="181">
        <f>IFERROR(FACTORS!$D$38*E40,"--")</f>
        <v>0</v>
      </c>
      <c r="K40" s="246">
        <f>IFERROR(FACTORS!$E$38*E40,"--")</f>
        <v>0</v>
      </c>
      <c r="L40" s="178">
        <f>IFERROR(FACTORS!$F$38*E40,"--")</f>
        <v>0</v>
      </c>
      <c r="M40" s="178">
        <f>IFERROR(FACTORS!$G$38*E40,"--")</f>
        <v>0</v>
      </c>
      <c r="N40" s="178">
        <f>IFERROR(FACTORS!$H$38*E40,"--")</f>
        <v>0</v>
      </c>
      <c r="O40" s="181" t="str">
        <f>IFERROR(FACTORS!$I$38*E40,"--")</f>
        <v>--</v>
      </c>
      <c r="P40" s="181">
        <f>IFERROR(FACTORS!$J$38*E40,"--")</f>
        <v>0</v>
      </c>
      <c r="Q40" s="191">
        <f>IFERROR(FACTORS!$K$38*E40,"--")</f>
        <v>0</v>
      </c>
      <c r="R40" s="184">
        <f t="shared" si="19"/>
        <v>0</v>
      </c>
      <c r="S40" s="181">
        <f t="shared" si="19"/>
        <v>0</v>
      </c>
      <c r="T40" s="246">
        <f t="shared" si="20"/>
        <v>0</v>
      </c>
      <c r="U40" s="246">
        <f t="shared" si="20"/>
        <v>0</v>
      </c>
      <c r="V40" s="246">
        <f t="shared" si="20"/>
        <v>0</v>
      </c>
      <c r="W40" s="246">
        <f t="shared" si="20"/>
        <v>0</v>
      </c>
      <c r="X40" s="246" t="str">
        <f t="shared" si="21"/>
        <v>--</v>
      </c>
      <c r="Y40" s="246">
        <f t="shared" si="22"/>
        <v>0</v>
      </c>
      <c r="Z40" s="182">
        <f t="shared" si="22"/>
        <v>0</v>
      </c>
      <c r="AA40" s="256"/>
      <c r="AB40" s="256"/>
      <c r="AC40" s="256"/>
      <c r="AD40" s="256"/>
      <c r="AE40" s="256"/>
      <c r="AF40" s="256"/>
      <c r="AG40" s="256"/>
      <c r="AH40" s="256"/>
      <c r="AI40" s="256"/>
      <c r="AJ40" s="256"/>
      <c r="AK40" s="256"/>
      <c r="AL40" s="256"/>
      <c r="AM40" s="256"/>
      <c r="AN40" s="256"/>
      <c r="AO40" s="256"/>
      <c r="AP40" s="256"/>
      <c r="AQ40" s="256"/>
      <c r="AR40" s="256"/>
    </row>
    <row r="41" spans="1:44" s="183" customFormat="1" ht="12.75" customHeight="1" x14ac:dyDescent="0.2">
      <c r="A41" s="174"/>
      <c r="B41" s="242" t="s">
        <v>103</v>
      </c>
      <c r="C41" s="243"/>
      <c r="D41" s="244"/>
      <c r="E41" s="176">
        <v>0</v>
      </c>
      <c r="F41" s="245">
        <f t="shared" si="23"/>
        <v>0</v>
      </c>
      <c r="G41" s="176">
        <v>0</v>
      </c>
      <c r="H41" s="180">
        <v>0</v>
      </c>
      <c r="I41" s="184">
        <f>IFERROR(FACTORS!$C$39*E41,"--")</f>
        <v>0</v>
      </c>
      <c r="J41" s="181">
        <f>IFERROR(FACTORS!$D$39*E41,"--")</f>
        <v>0</v>
      </c>
      <c r="K41" s="246">
        <f>IFERROR(FACTORS!$E$39*E41,"--")</f>
        <v>0</v>
      </c>
      <c r="L41" s="178">
        <f>IFERROR(FACTORS!$F$39*E41,"--")</f>
        <v>0</v>
      </c>
      <c r="M41" s="178">
        <f>IFERROR(FACTORS!$G$39*E41,"--")</f>
        <v>0</v>
      </c>
      <c r="N41" s="178">
        <f>IFERROR(FACTORS!$H$39*E41,"--")</f>
        <v>0</v>
      </c>
      <c r="O41" s="181" t="str">
        <f>IFERROR(FACTORS!$I$39*E41,"--")</f>
        <v>--</v>
      </c>
      <c r="P41" s="181">
        <f>IFERROR(FACTORS!$J$39*E41,"--")</f>
        <v>0</v>
      </c>
      <c r="Q41" s="191">
        <f>IFERROR(FACTORS!$K$39*E41,"--")</f>
        <v>0</v>
      </c>
      <c r="R41" s="184">
        <f t="shared" si="19"/>
        <v>0</v>
      </c>
      <c r="S41" s="181">
        <f t="shared" si="19"/>
        <v>0</v>
      </c>
      <c r="T41" s="246">
        <f t="shared" si="20"/>
        <v>0</v>
      </c>
      <c r="U41" s="246">
        <f t="shared" si="20"/>
        <v>0</v>
      </c>
      <c r="V41" s="246">
        <f t="shared" si="20"/>
        <v>0</v>
      </c>
      <c r="W41" s="246">
        <f t="shared" si="20"/>
        <v>0</v>
      </c>
      <c r="X41" s="246" t="str">
        <f t="shared" si="21"/>
        <v>--</v>
      </c>
      <c r="Y41" s="246">
        <f t="shared" si="22"/>
        <v>0</v>
      </c>
      <c r="Z41" s="182">
        <f t="shared" si="22"/>
        <v>0</v>
      </c>
      <c r="AA41" s="256"/>
      <c r="AB41" s="256"/>
      <c r="AC41" s="256"/>
      <c r="AD41" s="256"/>
      <c r="AE41" s="256"/>
      <c r="AF41" s="256"/>
      <c r="AG41" s="256"/>
      <c r="AH41" s="256"/>
      <c r="AI41" s="256"/>
      <c r="AJ41" s="256"/>
      <c r="AK41" s="256"/>
      <c r="AL41" s="256"/>
      <c r="AM41" s="256"/>
      <c r="AN41" s="256"/>
      <c r="AO41" s="256"/>
      <c r="AP41" s="256"/>
      <c r="AQ41" s="256"/>
      <c r="AR41" s="256"/>
    </row>
    <row r="42" spans="1:44" s="183" customFormat="1" ht="12.75" customHeight="1" x14ac:dyDescent="0.2">
      <c r="A42" s="174"/>
      <c r="B42" s="242" t="s">
        <v>91</v>
      </c>
      <c r="C42" s="243"/>
      <c r="D42" s="176">
        <v>0</v>
      </c>
      <c r="E42" s="74"/>
      <c r="F42" s="74"/>
      <c r="G42" s="179">
        <v>0</v>
      </c>
      <c r="H42" s="180">
        <v>0</v>
      </c>
      <c r="I42" s="184">
        <f>(FACTORS!$C$40*D42*2000)/24</f>
        <v>0</v>
      </c>
      <c r="J42" s="181">
        <f>(FACTORS!$D$40*D42*2000)/24</f>
        <v>0</v>
      </c>
      <c r="K42" s="246">
        <f>(FACTORS!$E$40*D42*2000)/24</f>
        <v>0</v>
      </c>
      <c r="L42" s="178">
        <f>(FACTORS!$F$40*D42*2000)/24</f>
        <v>0</v>
      </c>
      <c r="M42" s="178">
        <f>(FACTORS!$G$40*D42*2000)/24</f>
        <v>0</v>
      </c>
      <c r="N42" s="178">
        <f>(FACTORS!$H$40*D42*2000)/24</f>
        <v>0</v>
      </c>
      <c r="O42" s="181" t="str">
        <f>IFERROR((FACTORS!$I$40*D42*2000)/24,"--")</f>
        <v>--</v>
      </c>
      <c r="P42" s="181">
        <f>IFERROR((FACTORS!$J$40*D42*2000)/24,"--")</f>
        <v>0</v>
      </c>
      <c r="Q42" s="191" t="str">
        <f>IFERROR((FACTORS!$K$40*D42*2000)/24,"--")</f>
        <v>--</v>
      </c>
      <c r="R42" s="184">
        <f t="shared" si="19"/>
        <v>0</v>
      </c>
      <c r="S42" s="181">
        <f t="shared" si="19"/>
        <v>0</v>
      </c>
      <c r="T42" s="246">
        <f t="shared" si="20"/>
        <v>0</v>
      </c>
      <c r="U42" s="246">
        <f t="shared" si="20"/>
        <v>0</v>
      </c>
      <c r="V42" s="246">
        <f t="shared" si="20"/>
        <v>0</v>
      </c>
      <c r="W42" s="246">
        <f t="shared" si="20"/>
        <v>0</v>
      </c>
      <c r="X42" s="246" t="str">
        <f t="shared" si="21"/>
        <v>--</v>
      </c>
      <c r="Y42" s="246">
        <f t="shared" si="22"/>
        <v>0</v>
      </c>
      <c r="Z42" s="182" t="str">
        <f t="shared" si="22"/>
        <v/>
      </c>
      <c r="AA42" s="256"/>
      <c r="AB42" s="256"/>
      <c r="AC42" s="256"/>
      <c r="AD42" s="256"/>
      <c r="AE42" s="256"/>
      <c r="AF42" s="256"/>
      <c r="AG42" s="256"/>
      <c r="AH42" s="256"/>
      <c r="AI42" s="256"/>
      <c r="AJ42" s="256"/>
      <c r="AK42" s="256"/>
      <c r="AL42" s="256"/>
      <c r="AM42" s="256"/>
      <c r="AN42" s="256"/>
      <c r="AO42" s="256"/>
      <c r="AP42" s="256"/>
      <c r="AQ42" s="256"/>
      <c r="AR42" s="256"/>
    </row>
    <row r="43" spans="1:44" s="183" customFormat="1" ht="12.75" customHeight="1" x14ac:dyDescent="0.2">
      <c r="A43" s="174"/>
      <c r="B43" s="274" t="s">
        <v>133</v>
      </c>
      <c r="C43" s="242"/>
      <c r="D43" s="185">
        <v>0</v>
      </c>
      <c r="E43" s="74"/>
      <c r="F43" s="74"/>
      <c r="G43" s="185">
        <v>0</v>
      </c>
      <c r="H43" s="186">
        <v>0</v>
      </c>
      <c r="I43" s="187">
        <f>FACTORS!$C$42*D43/453.592</f>
        <v>0</v>
      </c>
      <c r="J43" s="192">
        <f>FACTORS!$D$42*D43/453.592</f>
        <v>0</v>
      </c>
      <c r="K43" s="189">
        <f>FACTORS!$E$42*D43/453.592</f>
        <v>0</v>
      </c>
      <c r="L43" s="192">
        <f>FACTORS!$F$42*D43/453.592</f>
        <v>0</v>
      </c>
      <c r="M43" s="192">
        <f>FACTORS!$G$42*D43/453.592</f>
        <v>0</v>
      </c>
      <c r="N43" s="188">
        <f>FACTORS!$H$42*D43/453.592</f>
        <v>0</v>
      </c>
      <c r="O43" s="192">
        <f>IFERROR(FACTORS!$I$42*D43/453.592, "--")</f>
        <v>0</v>
      </c>
      <c r="P43" s="192">
        <f>FACTORS!$J$42*D43/453.592</f>
        <v>0</v>
      </c>
      <c r="Q43" s="193">
        <f>FACTORS!$K$42*D43/453.592</f>
        <v>0</v>
      </c>
      <c r="R43" s="187">
        <f>IFERROR((I43*$G43*$H43)/2000, "")</f>
        <v>0</v>
      </c>
      <c r="S43" s="192">
        <f>IFERROR((J43*$G43*$H43)/2000, "")</f>
        <v>0</v>
      </c>
      <c r="T43" s="189">
        <f>IFERROR((K43*$G43*$H43)/2000, "")</f>
        <v>0</v>
      </c>
      <c r="U43" s="189">
        <f t="shared" si="20"/>
        <v>0</v>
      </c>
      <c r="V43" s="189">
        <f t="shared" si="20"/>
        <v>0</v>
      </c>
      <c r="W43" s="189">
        <f t="shared" si="20"/>
        <v>0</v>
      </c>
      <c r="X43" s="189">
        <f t="shared" si="21"/>
        <v>0</v>
      </c>
      <c r="Y43" s="189">
        <f t="shared" si="22"/>
        <v>0</v>
      </c>
      <c r="Z43" s="190">
        <f t="shared" si="22"/>
        <v>0</v>
      </c>
      <c r="AA43" s="256"/>
      <c r="AB43" s="256"/>
      <c r="AC43" s="256"/>
      <c r="AD43" s="256"/>
      <c r="AE43" s="256"/>
      <c r="AF43" s="256"/>
      <c r="AG43" s="256"/>
      <c r="AH43" s="256"/>
      <c r="AI43" s="256"/>
      <c r="AJ43" s="256"/>
      <c r="AK43" s="256"/>
      <c r="AL43" s="256"/>
      <c r="AM43" s="256"/>
      <c r="AN43" s="256"/>
      <c r="AO43" s="256"/>
      <c r="AP43" s="256"/>
      <c r="AQ43" s="256"/>
      <c r="AR43" s="256"/>
    </row>
    <row r="44" spans="1:44" s="247" customFormat="1" ht="12.75" customHeight="1" x14ac:dyDescent="0.2">
      <c r="A44" s="286">
        <f>A23</f>
        <v>2024</v>
      </c>
      <c r="B44" s="287" t="s">
        <v>124</v>
      </c>
      <c r="C44" s="431"/>
      <c r="D44" s="281"/>
      <c r="E44" s="281"/>
      <c r="F44" s="282"/>
      <c r="G44" s="281"/>
      <c r="H44" s="283"/>
      <c r="I44" s="380">
        <f t="shared" ref="I44:Z44" si="24">SUM(I26:I43)</f>
        <v>0</v>
      </c>
      <c r="J44" s="428">
        <f t="shared" si="24"/>
        <v>0</v>
      </c>
      <c r="K44" s="429">
        <f t="shared" si="24"/>
        <v>0</v>
      </c>
      <c r="L44" s="284">
        <f t="shared" si="24"/>
        <v>0</v>
      </c>
      <c r="M44" s="284">
        <f t="shared" si="24"/>
        <v>0</v>
      </c>
      <c r="N44" s="284">
        <f t="shared" si="24"/>
        <v>0</v>
      </c>
      <c r="O44" s="284">
        <f t="shared" si="24"/>
        <v>0</v>
      </c>
      <c r="P44" s="284">
        <f t="shared" si="24"/>
        <v>0</v>
      </c>
      <c r="Q44" s="290">
        <f t="shared" si="24"/>
        <v>0</v>
      </c>
      <c r="R44" s="383">
        <f t="shared" si="24"/>
        <v>0</v>
      </c>
      <c r="S44" s="291">
        <f t="shared" si="24"/>
        <v>0</v>
      </c>
      <c r="T44" s="430">
        <f t="shared" si="24"/>
        <v>0</v>
      </c>
      <c r="U44" s="291">
        <f t="shared" si="24"/>
        <v>0</v>
      </c>
      <c r="V44" s="291">
        <f t="shared" si="24"/>
        <v>0</v>
      </c>
      <c r="W44" s="291">
        <f t="shared" si="24"/>
        <v>0</v>
      </c>
      <c r="X44" s="291">
        <f t="shared" si="24"/>
        <v>0</v>
      </c>
      <c r="Y44" s="291">
        <f t="shared" si="24"/>
        <v>0</v>
      </c>
      <c r="Z44" s="292">
        <f t="shared" si="24"/>
        <v>0</v>
      </c>
      <c r="AA44" s="256"/>
      <c r="AB44" s="256"/>
      <c r="AC44" s="256"/>
      <c r="AD44" s="256"/>
      <c r="AE44" s="256"/>
      <c r="AF44" s="256"/>
      <c r="AG44" s="256"/>
      <c r="AH44" s="256"/>
      <c r="AI44" s="256"/>
      <c r="AJ44" s="256"/>
      <c r="AK44" s="256"/>
      <c r="AL44" s="256"/>
      <c r="AM44" s="256"/>
      <c r="AN44" s="256"/>
      <c r="AO44" s="256"/>
      <c r="AP44" s="256"/>
      <c r="AQ44" s="256"/>
      <c r="AR44" s="256"/>
    </row>
    <row r="45" spans="1:44" ht="12.75" customHeight="1" x14ac:dyDescent="0.2">
      <c r="A45" s="77"/>
      <c r="B45" s="13"/>
      <c r="C45" s="13"/>
    </row>
    <row r="46" spans="1:44" ht="12.75" customHeight="1" x14ac:dyDescent="0.2">
      <c r="A46" s="77"/>
      <c r="B46" s="13"/>
      <c r="C46" s="13"/>
    </row>
    <row r="47" spans="1:44" ht="12.75" customHeight="1" x14ac:dyDescent="0.2">
      <c r="A47" s="77"/>
      <c r="B47" s="13"/>
      <c r="C47" s="13"/>
    </row>
    <row r="48" spans="1:44" ht="12.75" customHeight="1" x14ac:dyDescent="0.2">
      <c r="A48" s="2"/>
      <c r="B48" s="2"/>
      <c r="C48" s="2"/>
      <c r="D48" s="2"/>
      <c r="E48" s="2"/>
      <c r="F48" s="2"/>
      <c r="G48" s="2"/>
      <c r="H48" s="2"/>
      <c r="I48" s="2"/>
      <c r="J48" s="2"/>
      <c r="K48" s="2"/>
      <c r="L48" s="2"/>
      <c r="M48" s="2"/>
      <c r="N48" s="2"/>
      <c r="O48" s="2"/>
      <c r="P48" s="2"/>
      <c r="Q48" s="2"/>
      <c r="R48" s="2"/>
      <c r="S48" s="2"/>
      <c r="T48" s="2"/>
      <c r="U48" s="2"/>
      <c r="V48" s="2"/>
      <c r="W48" s="2"/>
      <c r="X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0"/>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16"/>
      <c r="Z52" s="20"/>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16"/>
      <c r="Z53" s="20"/>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16"/>
      <c r="Z54" s="19"/>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17"/>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13"/>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13"/>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13"/>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13"/>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13"/>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13"/>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13"/>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13"/>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13"/>
    </row>
    <row r="65" spans="1:25"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13"/>
    </row>
    <row r="66" spans="1:25"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13"/>
    </row>
    <row r="67" spans="1:25"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13"/>
    </row>
    <row r="68" spans="1:25"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13"/>
    </row>
    <row r="69" spans="1:25"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13"/>
    </row>
    <row r="70" spans="1:25"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13"/>
    </row>
    <row r="71" spans="1:25"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13"/>
    </row>
    <row r="72" spans="1:25"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18"/>
    </row>
    <row r="73" spans="1:25"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18"/>
    </row>
    <row r="74" spans="1:25"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18"/>
    </row>
    <row r="75" spans="1:25"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18"/>
    </row>
    <row r="76" spans="1:25"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13"/>
    </row>
    <row r="77" spans="1:25"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13"/>
    </row>
    <row r="78" spans="1:25"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13"/>
    </row>
    <row r="79" spans="1:25"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13"/>
    </row>
    <row r="80" spans="1:25"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13"/>
    </row>
    <row r="81" spans="1:25"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3"/>
    </row>
    <row r="82" spans="1:25"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row>
    <row r="83" spans="1:25"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row>
    <row r="84" spans="1:25"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row>
    <row r="85" spans="1:25"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row>
    <row r="86" spans="1:25"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row>
    <row r="87" spans="1:25"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row>
    <row r="88" spans="1:25"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row>
    <row r="89" spans="1:25"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row>
    <row r="90" spans="1:25"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row>
    <row r="91" spans="1:25"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row>
    <row r="92" spans="1:25"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row>
    <row r="93" spans="1:25"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row>
    <row r="94" spans="1:25"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row>
    <row r="95" spans="1:25"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row>
    <row r="96" spans="1:25"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18"/>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13"/>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13"/>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13"/>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13"/>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13"/>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13"/>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13"/>
    </row>
    <row r="128" spans="1:25" ht="12.75" customHeight="1" x14ac:dyDescent="0.2">
      <c r="Y128" s="13"/>
    </row>
    <row r="129" spans="25:26" ht="12.75" customHeight="1" x14ac:dyDescent="0.2">
      <c r="Y129" s="18"/>
      <c r="Z129" s="19"/>
    </row>
    <row r="130" spans="25:26" ht="12.75" customHeight="1" x14ac:dyDescent="0.2">
      <c r="Y130" s="21"/>
    </row>
    <row r="131" spans="25:26" ht="12.75" customHeight="1" x14ac:dyDescent="0.2">
      <c r="Y131" s="18"/>
    </row>
    <row r="132" spans="25:26" ht="12.75" customHeight="1" x14ac:dyDescent="0.2">
      <c r="Y132" s="13"/>
      <c r="Z132" s="19"/>
    </row>
    <row r="133" spans="25:26" ht="12.75" customHeight="1" x14ac:dyDescent="0.2">
      <c r="Y133" s="22"/>
    </row>
    <row r="141" spans="25:26" ht="12.75" customHeight="1" x14ac:dyDescent="0.2">
      <c r="Z141" s="20"/>
    </row>
    <row r="142" spans="25:26" ht="12.75" customHeight="1" x14ac:dyDescent="0.2">
      <c r="Y142" s="16"/>
      <c r="Z142" s="20"/>
    </row>
    <row r="143" spans="25:26" ht="12.75" customHeight="1" x14ac:dyDescent="0.2">
      <c r="Y143" s="16"/>
      <c r="Z143" s="20"/>
    </row>
    <row r="144" spans="25:26" ht="12.75" customHeight="1" x14ac:dyDescent="0.2">
      <c r="Y144" s="16"/>
      <c r="Z144" s="19"/>
    </row>
    <row r="145" spans="25:25" ht="12.75" customHeight="1" x14ac:dyDescent="0.2">
      <c r="Y145" s="17"/>
    </row>
    <row r="146" spans="25:25" ht="12.75" customHeight="1" x14ac:dyDescent="0.2">
      <c r="Y146" s="13"/>
    </row>
    <row r="147" spans="25:25" ht="12.75" customHeight="1" x14ac:dyDescent="0.2">
      <c r="Y147" s="13"/>
    </row>
    <row r="148" spans="25:25" ht="12.75" customHeight="1" x14ac:dyDescent="0.2">
      <c r="Y148" s="13"/>
    </row>
    <row r="149" spans="25:25" ht="12.75" customHeight="1" x14ac:dyDescent="0.2">
      <c r="Y149" s="13"/>
    </row>
    <row r="150" spans="25:25" ht="12.75" customHeight="1" x14ac:dyDescent="0.2">
      <c r="Y150" s="13"/>
    </row>
    <row r="151" spans="25:25" ht="12.75" customHeight="1" x14ac:dyDescent="0.2">
      <c r="Y151" s="13"/>
    </row>
    <row r="152" spans="25:25" ht="12.75" customHeight="1" x14ac:dyDescent="0.2">
      <c r="Y152" s="13"/>
    </row>
    <row r="153" spans="25:25" ht="12.75" customHeight="1" x14ac:dyDescent="0.2">
      <c r="Y153" s="13"/>
    </row>
    <row r="154" spans="25:25" ht="12.75" customHeight="1" x14ac:dyDescent="0.2">
      <c r="Y154" s="13"/>
    </row>
    <row r="155" spans="25:25" ht="12.75" customHeight="1" x14ac:dyDescent="0.2">
      <c r="Y155" s="13"/>
    </row>
    <row r="156" spans="25:25" ht="12.75" customHeight="1" x14ac:dyDescent="0.2">
      <c r="Y156" s="13"/>
    </row>
    <row r="157" spans="25:25" ht="12.75" customHeight="1" x14ac:dyDescent="0.2">
      <c r="Y157" s="13"/>
    </row>
    <row r="158" spans="25:25" ht="12.75" customHeight="1" x14ac:dyDescent="0.2">
      <c r="Y158" s="13"/>
    </row>
    <row r="159" spans="25:25" ht="12.75" customHeight="1" x14ac:dyDescent="0.2">
      <c r="Y159" s="13"/>
    </row>
    <row r="160" spans="25:25" ht="12.75" customHeight="1" x14ac:dyDescent="0.2">
      <c r="Y160" s="13"/>
    </row>
    <row r="161" spans="25:26" ht="12.75" customHeight="1" x14ac:dyDescent="0.2">
      <c r="Y161" s="13"/>
    </row>
    <row r="162" spans="25:26" ht="12.75" customHeight="1" x14ac:dyDescent="0.2">
      <c r="Y162" s="18"/>
    </row>
    <row r="163" spans="25:26" ht="12.75" customHeight="1" x14ac:dyDescent="0.2">
      <c r="Y163" s="18"/>
    </row>
    <row r="164" spans="25:26" ht="12.75" customHeight="1" x14ac:dyDescent="0.2">
      <c r="Y164" s="18"/>
    </row>
    <row r="165" spans="25:26" ht="12.75" customHeight="1" x14ac:dyDescent="0.2">
      <c r="Y165" s="18"/>
    </row>
    <row r="166" spans="25:26" ht="12.75" customHeight="1" x14ac:dyDescent="0.2">
      <c r="Y166" s="13"/>
    </row>
    <row r="167" spans="25:26" ht="12.75" customHeight="1" x14ac:dyDescent="0.2">
      <c r="Y167" s="13"/>
    </row>
    <row r="168" spans="25:26" ht="12.75" customHeight="1" x14ac:dyDescent="0.2">
      <c r="Y168" s="13"/>
    </row>
    <row r="169" spans="25:26" ht="12.75" customHeight="1" x14ac:dyDescent="0.2">
      <c r="Y169" s="13"/>
    </row>
    <row r="170" spans="25:26" ht="12.75" customHeight="1" x14ac:dyDescent="0.2">
      <c r="Y170" s="13"/>
    </row>
    <row r="171" spans="25:26" ht="12.75" customHeight="1" x14ac:dyDescent="0.2">
      <c r="Y171" s="13"/>
    </row>
    <row r="172" spans="25:26" ht="12.75" customHeight="1" x14ac:dyDescent="0.2">
      <c r="Y172" s="13"/>
    </row>
    <row r="173" spans="25:26" ht="12.75" customHeight="1" x14ac:dyDescent="0.2">
      <c r="Y173" s="13"/>
    </row>
    <row r="174" spans="25:26" ht="12.75" customHeight="1" x14ac:dyDescent="0.2">
      <c r="Y174" s="18"/>
      <c r="Z174" s="19"/>
    </row>
    <row r="175" spans="25:26" ht="12.75" customHeight="1" x14ac:dyDescent="0.2">
      <c r="Y175" s="21"/>
    </row>
    <row r="176" spans="25:26" ht="12.75" customHeight="1" x14ac:dyDescent="0.2">
      <c r="Y176" s="18"/>
    </row>
    <row r="177" spans="25:26" ht="12.75" customHeight="1" x14ac:dyDescent="0.2">
      <c r="Y177" s="13"/>
      <c r="Z177" s="19"/>
    </row>
    <row r="178" spans="25:26" ht="12.75" customHeight="1" x14ac:dyDescent="0.2">
      <c r="Y178"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- 5TH YEAR</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1C2BC-8CB3-4BB4-A633-4FCE5AFCA2A8}">
  <sheetPr codeName="Sheet10">
    <pageSetUpPr fitToPage="1"/>
  </sheetPr>
  <dimension ref="A1:AR178"/>
  <sheetViews>
    <sheetView view="pageLayout" topLeftCell="A2" zoomScale="70" zoomScaleNormal="70" zoomScalePageLayoutView="70" workbookViewId="0">
      <selection activeCell="D15" sqref="D15"/>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56"/>
    <col min="45" max="16384" width="9.7109375" style="2"/>
  </cols>
  <sheetData>
    <row r="1" spans="1:44" ht="12.75" customHeight="1" thickBot="1" x14ac:dyDescent="0.25">
      <c r="A1" s="23" t="s">
        <v>1</v>
      </c>
      <c r="B1" s="23" t="s">
        <v>2</v>
      </c>
      <c r="C1" s="23"/>
      <c r="D1" s="23" t="s">
        <v>3</v>
      </c>
      <c r="E1" s="23" t="s">
        <v>5</v>
      </c>
      <c r="F1" s="24" t="s">
        <v>63</v>
      </c>
      <c r="G1" s="23" t="s">
        <v>7</v>
      </c>
      <c r="H1" s="25"/>
      <c r="I1" s="26"/>
      <c r="J1" s="26"/>
      <c r="K1" s="26"/>
      <c r="L1" s="27" t="s">
        <v>81</v>
      </c>
      <c r="M1" s="28" t="s">
        <v>0</v>
      </c>
      <c r="N1" s="26" t="s">
        <v>42</v>
      </c>
      <c r="O1" s="29"/>
      <c r="P1" s="29" t="s">
        <v>11</v>
      </c>
      <c r="Q1" s="29"/>
      <c r="R1" s="30"/>
      <c r="S1" s="30"/>
      <c r="T1" s="30"/>
      <c r="U1" s="30"/>
      <c r="V1" s="30"/>
      <c r="W1" s="30"/>
      <c r="X1" s="30"/>
      <c r="Y1" s="30"/>
      <c r="Z1" s="101"/>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373"/>
      <c r="K2" s="373"/>
      <c r="L2" s="473" t="str">
        <f>TITLE!$C$7</f>
        <v xml:space="preserve">  </v>
      </c>
      <c r="M2" s="476"/>
      <c r="N2" s="473" t="str">
        <f>TITLE!$C$8</f>
        <v xml:space="preserve"> </v>
      </c>
      <c r="O2" s="476"/>
      <c r="P2" s="473" t="str">
        <f>TITLE!C9</f>
        <v xml:space="preserve"> </v>
      </c>
      <c r="Q2" s="474"/>
      <c r="R2" s="474"/>
      <c r="S2" s="474"/>
      <c r="T2" s="474"/>
      <c r="U2" s="474"/>
      <c r="V2" s="474"/>
      <c r="W2" s="474"/>
      <c r="X2" s="474"/>
      <c r="Y2" s="474"/>
      <c r="Z2" s="475"/>
    </row>
    <row r="3" spans="1:44" ht="12.75" customHeight="1" thickTop="1" x14ac:dyDescent="0.2">
      <c r="A3" s="33" t="s">
        <v>43</v>
      </c>
      <c r="B3" s="34" t="s">
        <v>44</v>
      </c>
      <c r="C3" s="34" t="s">
        <v>101</v>
      </c>
      <c r="D3" s="34" t="s">
        <v>45</v>
      </c>
      <c r="E3" s="34" t="s">
        <v>46</v>
      </c>
      <c r="F3" s="35" t="s">
        <v>47</v>
      </c>
      <c r="G3" s="36" t="s">
        <v>48</v>
      </c>
      <c r="H3" s="37"/>
      <c r="I3" s="38"/>
      <c r="J3" s="38"/>
      <c r="K3" s="38"/>
      <c r="L3" s="38"/>
      <c r="M3" s="38" t="s">
        <v>49</v>
      </c>
      <c r="N3" s="38"/>
      <c r="O3" s="38"/>
      <c r="P3" s="38"/>
      <c r="Q3" s="39"/>
      <c r="R3" s="40"/>
      <c r="S3" s="40"/>
      <c r="T3" s="40"/>
      <c r="U3" s="40"/>
      <c r="V3" s="38" t="s">
        <v>50</v>
      </c>
      <c r="W3" s="40"/>
      <c r="X3" s="40"/>
      <c r="Y3" s="40"/>
      <c r="Z3" s="100"/>
    </row>
    <row r="4" spans="1:44" ht="12.75" customHeight="1" x14ac:dyDescent="0.2">
      <c r="A4" s="41"/>
      <c r="B4" s="42" t="s">
        <v>51</v>
      </c>
      <c r="C4" s="42"/>
      <c r="D4" s="42" t="s">
        <v>52</v>
      </c>
      <c r="E4" s="42" t="s">
        <v>53</v>
      </c>
      <c r="F4" s="43" t="s">
        <v>54</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77" t="s">
        <v>55</v>
      </c>
      <c r="C5" s="277"/>
      <c r="D5" s="50" t="s">
        <v>52</v>
      </c>
      <c r="E5" s="50" t="s">
        <v>56</v>
      </c>
      <c r="F5" s="51" t="s">
        <v>57</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78" t="s">
        <v>58</v>
      </c>
      <c r="C6" s="278"/>
      <c r="D6" s="168" t="s">
        <v>59</v>
      </c>
      <c r="E6" s="42" t="s">
        <v>56</v>
      </c>
      <c r="F6" s="43" t="s">
        <v>57</v>
      </c>
      <c r="G6" s="169" t="s">
        <v>60</v>
      </c>
      <c r="H6" s="170" t="s">
        <v>71</v>
      </c>
      <c r="I6" s="396" t="s">
        <v>199</v>
      </c>
      <c r="J6" s="397" t="s">
        <v>197</v>
      </c>
      <c r="K6" s="398" t="s">
        <v>198</v>
      </c>
      <c r="L6" s="399" t="s">
        <v>23</v>
      </c>
      <c r="M6" s="399" t="s">
        <v>24</v>
      </c>
      <c r="N6" s="399" t="s">
        <v>25</v>
      </c>
      <c r="O6" s="397" t="s">
        <v>72</v>
      </c>
      <c r="P6" s="397" t="s">
        <v>26</v>
      </c>
      <c r="Q6" s="400" t="s">
        <v>80</v>
      </c>
      <c r="R6" s="401" t="s">
        <v>199</v>
      </c>
      <c r="S6" s="402" t="s">
        <v>197</v>
      </c>
      <c r="T6" s="403" t="s">
        <v>198</v>
      </c>
      <c r="U6" s="403" t="s">
        <v>23</v>
      </c>
      <c r="V6" s="171" t="s">
        <v>24</v>
      </c>
      <c r="W6" s="171" t="s">
        <v>25</v>
      </c>
      <c r="X6" s="46" t="s">
        <v>72</v>
      </c>
      <c r="Y6" s="46" t="s">
        <v>26</v>
      </c>
      <c r="Z6" s="172" t="s">
        <v>80</v>
      </c>
    </row>
    <row r="7" spans="1:44" s="173" customFormat="1" ht="12.75" customHeight="1" thickTop="1" x14ac:dyDescent="0.2">
      <c r="A7" s="194" t="s">
        <v>61</v>
      </c>
      <c r="B7" s="279" t="s">
        <v>165</v>
      </c>
      <c r="C7" s="293"/>
      <c r="D7" s="195">
        <v>0</v>
      </c>
      <c r="E7" s="196">
        <f>FACTORS!$I$2*D7</f>
        <v>0</v>
      </c>
      <c r="F7" s="197">
        <f>E7*24</f>
        <v>0</v>
      </c>
      <c r="G7" s="198">
        <v>0</v>
      </c>
      <c r="H7" s="199">
        <v>0</v>
      </c>
      <c r="I7" s="377">
        <f>FACTORS!$C$17*D7/453.592</f>
        <v>0</v>
      </c>
      <c r="J7" s="404">
        <f>FACTORS!$D$17*D7/453.592</f>
        <v>0</v>
      </c>
      <c r="K7" s="405">
        <f>FACTORS!$E$17*D7/453.592</f>
        <v>0</v>
      </c>
      <c r="L7" s="202">
        <f>FACTORS!$F$17*D7/453.592</f>
        <v>0</v>
      </c>
      <c r="M7" s="202">
        <f>FACTORS!$G$17*D7/453.592</f>
        <v>0</v>
      </c>
      <c r="N7" s="201">
        <f>FACTORS!$H$17*D7/453.592</f>
        <v>0</v>
      </c>
      <c r="O7" s="203">
        <f>FACTORS!$I$17*D7/453.592</f>
        <v>0</v>
      </c>
      <c r="P7" s="203">
        <f>FACTORS!$J$17*D7/453.592</f>
        <v>0</v>
      </c>
      <c r="Q7" s="204">
        <f>IFERROR(FACTORS!$K$17*D7/453.592,"--")</f>
        <v>0</v>
      </c>
      <c r="R7" s="381">
        <f>IF(I7=0,0,I7*($F7/($E7*24))*$G7*$H7/2000)</f>
        <v>0</v>
      </c>
      <c r="S7" s="203">
        <f t="shared" ref="S7:T10" si="0">IF(J7=0,0,J7*($F7/($E7*24))*$G7*$H7/2000)</f>
        <v>0</v>
      </c>
      <c r="T7" s="203">
        <f>IF(K7=0,0,K7*($F7/($E7*24))*$G7*$H7/2000)</f>
        <v>0</v>
      </c>
      <c r="U7" s="203">
        <f t="shared" ref="U7:W10" si="1">IF(L7=0,0,L7*($F7/($E7*24))*$G7*$H7/2000)</f>
        <v>0</v>
      </c>
      <c r="V7" s="203">
        <f t="shared" si="1"/>
        <v>0</v>
      </c>
      <c r="W7" s="203">
        <f t="shared" si="1"/>
        <v>0</v>
      </c>
      <c r="X7" s="203">
        <f>IFERROR(IF(O7=0,0,O7*($F7/($E7*24))*$G7*$H7/2000),"--")</f>
        <v>0</v>
      </c>
      <c r="Y7" s="203">
        <f>IF(P7=0,0,P7*($F7/($E7*24))*$G7*$H7/2000)</f>
        <v>0</v>
      </c>
      <c r="Z7" s="205">
        <f>IFERROR(IF(Q7=0,0,Q7*($F7/($E7*24))*$G7*$H7/2000),"--")</f>
        <v>0</v>
      </c>
      <c r="AA7" s="262"/>
      <c r="AB7" s="262"/>
      <c r="AC7" s="262"/>
      <c r="AD7" s="262"/>
      <c r="AE7" s="262"/>
      <c r="AF7" s="262"/>
      <c r="AG7" s="262"/>
      <c r="AH7" s="262"/>
      <c r="AI7" s="262"/>
      <c r="AJ7" s="262"/>
      <c r="AK7" s="262"/>
      <c r="AL7" s="262"/>
      <c r="AM7" s="262"/>
      <c r="AN7" s="262"/>
      <c r="AO7" s="262"/>
      <c r="AP7" s="262"/>
      <c r="AQ7" s="262"/>
      <c r="AR7" s="262"/>
    </row>
    <row r="8" spans="1:44" s="183" customFormat="1" ht="12.75" customHeight="1" x14ac:dyDescent="0.2">
      <c r="A8" s="206"/>
      <c r="B8" s="238" t="s">
        <v>165</v>
      </c>
      <c r="C8" s="294"/>
      <c r="D8" s="208">
        <v>0</v>
      </c>
      <c r="E8" s="209">
        <f>FACTORS!$I$2*D8</f>
        <v>0</v>
      </c>
      <c r="F8" s="201">
        <f>E8*24</f>
        <v>0</v>
      </c>
      <c r="G8" s="210">
        <v>0</v>
      </c>
      <c r="H8" s="211">
        <v>0</v>
      </c>
      <c r="I8" s="222">
        <f>FACTORS!$C$17*D8/453.592</f>
        <v>0</v>
      </c>
      <c r="J8" s="404">
        <f>FACTORS!$D$17*D8/453.592</f>
        <v>0</v>
      </c>
      <c r="K8" s="405">
        <f>FACTORS!$E$17*D8/453.592</f>
        <v>0</v>
      </c>
      <c r="L8" s="202">
        <f>FACTORS!$F$17*D8/453.592</f>
        <v>0</v>
      </c>
      <c r="M8" s="202">
        <f>FACTORS!$G$17*D8/453.592</f>
        <v>0</v>
      </c>
      <c r="N8" s="201">
        <f>FACTORS!$H$17*D8/453.592</f>
        <v>0</v>
      </c>
      <c r="O8" s="202">
        <f>FACTORS!$I$17*D8/453.592</f>
        <v>0</v>
      </c>
      <c r="P8" s="202">
        <f>FACTORS!$J$17*D8/453.592</f>
        <v>0</v>
      </c>
      <c r="Q8" s="204">
        <f>IFERROR(FACTORS!$K$17*D8/453.592,"--")</f>
        <v>0</v>
      </c>
      <c r="R8" s="200">
        <f>IF(I8=0,0,I8*($F8/($E8*24))*$G8*$H8/2000)</f>
        <v>0</v>
      </c>
      <c r="S8" s="202">
        <f t="shared" si="0"/>
        <v>0</v>
      </c>
      <c r="T8" s="202">
        <f t="shared" si="0"/>
        <v>0</v>
      </c>
      <c r="U8" s="202">
        <f t="shared" si="1"/>
        <v>0</v>
      </c>
      <c r="V8" s="202">
        <f t="shared" si="1"/>
        <v>0</v>
      </c>
      <c r="W8" s="202">
        <f t="shared" si="1"/>
        <v>0</v>
      </c>
      <c r="X8" s="202">
        <f>IFERROR(IF(O8=0,0,O8*($F8/($E8*24))*$G8*$H8/2000),"--")</f>
        <v>0</v>
      </c>
      <c r="Y8" s="202">
        <f>IF(P8=0,0,P8*($F8/($E8*24))*$G8*$H8/2000)</f>
        <v>0</v>
      </c>
      <c r="Z8" s="213">
        <f>IFERROR(IF(Q8=0,0,Q8*($F8/($E8*24))*$G8*$H8/2000),"--")</f>
        <v>0</v>
      </c>
      <c r="AA8" s="256"/>
      <c r="AB8" s="256"/>
      <c r="AC8" s="256"/>
      <c r="AD8" s="256"/>
      <c r="AE8" s="256"/>
      <c r="AF8" s="256"/>
      <c r="AG8" s="256"/>
      <c r="AH8" s="256"/>
      <c r="AI8" s="256"/>
      <c r="AJ8" s="256"/>
      <c r="AK8" s="256"/>
      <c r="AL8" s="256"/>
      <c r="AM8" s="256"/>
      <c r="AN8" s="256"/>
      <c r="AO8" s="256"/>
      <c r="AP8" s="256"/>
      <c r="AQ8" s="256"/>
      <c r="AR8" s="256"/>
    </row>
    <row r="9" spans="1:44" s="183" customFormat="1" ht="12.75" customHeight="1" x14ac:dyDescent="0.2">
      <c r="A9" s="206"/>
      <c r="B9" s="238" t="s">
        <v>165</v>
      </c>
      <c r="C9" s="294"/>
      <c r="D9" s="208">
        <v>0</v>
      </c>
      <c r="E9" s="209">
        <f>FACTORS!$I$2*D9</f>
        <v>0</v>
      </c>
      <c r="F9" s="201">
        <f>E9*24</f>
        <v>0</v>
      </c>
      <c r="G9" s="210">
        <v>0</v>
      </c>
      <c r="H9" s="211">
        <v>0</v>
      </c>
      <c r="I9" s="222">
        <f>FACTORS!$C$17*D9/453.592</f>
        <v>0</v>
      </c>
      <c r="J9" s="404">
        <f>FACTORS!$D$17*D9/453.592</f>
        <v>0</v>
      </c>
      <c r="K9" s="405">
        <f>FACTORS!$E$17*D9/453.592</f>
        <v>0</v>
      </c>
      <c r="L9" s="202">
        <f>FACTORS!$F$17*D9/453.592</f>
        <v>0</v>
      </c>
      <c r="M9" s="202">
        <f>FACTORS!$G$17*D9/453.592</f>
        <v>0</v>
      </c>
      <c r="N9" s="201">
        <f>FACTORS!$H$17*D9/453.592</f>
        <v>0</v>
      </c>
      <c r="O9" s="202">
        <f>FACTORS!$I$17*D9/453.592</f>
        <v>0</v>
      </c>
      <c r="P9" s="202">
        <f>FACTORS!$J$17*D9/453.592</f>
        <v>0</v>
      </c>
      <c r="Q9" s="204">
        <f>IFERROR(FACTORS!$K$17*D9/453.592,"--")</f>
        <v>0</v>
      </c>
      <c r="R9" s="200">
        <f>IF(I9=0,0,I9*($F9/($E9*24))*$G9*$H9/2000)</f>
        <v>0</v>
      </c>
      <c r="S9" s="202">
        <f t="shared" si="0"/>
        <v>0</v>
      </c>
      <c r="T9" s="202">
        <f t="shared" si="0"/>
        <v>0</v>
      </c>
      <c r="U9" s="202">
        <f t="shared" si="1"/>
        <v>0</v>
      </c>
      <c r="V9" s="202">
        <f t="shared" si="1"/>
        <v>0</v>
      </c>
      <c r="W9" s="202">
        <f t="shared" si="1"/>
        <v>0</v>
      </c>
      <c r="X9" s="202">
        <f>IFERROR(IF(O9=0,0,O9*($F9/($E9*24))*$G9*$H9/2000),"--")</f>
        <v>0</v>
      </c>
      <c r="Y9" s="202">
        <f>IF(P9=0,0,P9*($F9/($E9*24))*$G9*$H9/2000)</f>
        <v>0</v>
      </c>
      <c r="Z9" s="213">
        <f>IFERROR(IF(Q9=0,0,Q9*($F9/($E9*24))*$G9*$H9/2000),"--")</f>
        <v>0</v>
      </c>
      <c r="AA9" s="256"/>
      <c r="AB9" s="256"/>
      <c r="AC9" s="256"/>
      <c r="AD9" s="256"/>
      <c r="AE9" s="256"/>
      <c r="AF9" s="256"/>
      <c r="AG9" s="256"/>
      <c r="AH9" s="256"/>
      <c r="AI9" s="256"/>
      <c r="AJ9" s="256"/>
      <c r="AK9" s="256"/>
      <c r="AL9" s="256"/>
      <c r="AM9" s="256"/>
      <c r="AN9" s="256"/>
      <c r="AO9" s="256"/>
      <c r="AP9" s="256"/>
      <c r="AQ9" s="256"/>
      <c r="AR9" s="256"/>
    </row>
    <row r="10" spans="1:44" s="183" customFormat="1" ht="12.75" customHeight="1" x14ac:dyDescent="0.2">
      <c r="A10" s="206"/>
      <c r="B10" s="238" t="s">
        <v>165</v>
      </c>
      <c r="C10" s="294"/>
      <c r="D10" s="208">
        <v>0</v>
      </c>
      <c r="E10" s="209">
        <f>FACTORS!$I$2*D10</f>
        <v>0</v>
      </c>
      <c r="F10" s="201">
        <f>E10*24</f>
        <v>0</v>
      </c>
      <c r="G10" s="210">
        <v>0</v>
      </c>
      <c r="H10" s="211">
        <v>0</v>
      </c>
      <c r="I10" s="222">
        <f>FACTORS!$C$17*D10/453.592</f>
        <v>0</v>
      </c>
      <c r="J10" s="404">
        <f>FACTORS!$D$17*D10/453.592</f>
        <v>0</v>
      </c>
      <c r="K10" s="405">
        <f>FACTORS!$E$17*D10/453.592</f>
        <v>0</v>
      </c>
      <c r="L10" s="202">
        <f>FACTORS!$F$17*D10/453.592</f>
        <v>0</v>
      </c>
      <c r="M10" s="202">
        <f>FACTORS!$G$17*D10/453.592</f>
        <v>0</v>
      </c>
      <c r="N10" s="201">
        <f>FACTORS!$H$17*D10/453.592</f>
        <v>0</v>
      </c>
      <c r="O10" s="202">
        <f>FACTORS!$I$17*D10/453.592</f>
        <v>0</v>
      </c>
      <c r="P10" s="202">
        <f>FACTORS!$J$17*D10/453.592</f>
        <v>0</v>
      </c>
      <c r="Q10" s="204">
        <f>IFERROR(FACTORS!$K$17*D10/453.592,"--")</f>
        <v>0</v>
      </c>
      <c r="R10" s="200">
        <f>IF(I10=0,0,I10*($F10/($E10*24))*$G10*$H10/2000)</f>
        <v>0</v>
      </c>
      <c r="S10" s="202">
        <f>IF(J10=0,0,J10*($F10/($E10*24))*$G10*$H10/2000)</f>
        <v>0</v>
      </c>
      <c r="T10" s="202">
        <f t="shared" si="0"/>
        <v>0</v>
      </c>
      <c r="U10" s="202">
        <f t="shared" si="1"/>
        <v>0</v>
      </c>
      <c r="V10" s="202">
        <f t="shared" si="1"/>
        <v>0</v>
      </c>
      <c r="W10" s="202">
        <f t="shared" si="1"/>
        <v>0</v>
      </c>
      <c r="X10" s="202">
        <f>IFERROR(IF(O10=0,0,O10*($F10/($E10*24))*$G10*$H10/2000),"--")</f>
        <v>0</v>
      </c>
      <c r="Y10" s="202">
        <f>IF(P10=0,0,P10*($F10/($E10*24))*$G10*$H10/2000)</f>
        <v>0</v>
      </c>
      <c r="Z10" s="213">
        <f>IFERROR(IF(Q10=0,0,Q10*($F10/($E10*24))*$G10*$H10/2000),"--")</f>
        <v>0</v>
      </c>
      <c r="AA10" s="256"/>
      <c r="AB10" s="256"/>
      <c r="AC10" s="256"/>
      <c r="AD10" s="256"/>
      <c r="AE10" s="256"/>
      <c r="AF10" s="256"/>
      <c r="AG10" s="256"/>
      <c r="AH10" s="256"/>
      <c r="AI10" s="256"/>
      <c r="AJ10" s="256"/>
      <c r="AK10" s="256"/>
      <c r="AL10" s="256"/>
      <c r="AM10" s="256"/>
      <c r="AN10" s="256"/>
      <c r="AO10" s="256"/>
      <c r="AP10" s="256"/>
      <c r="AQ10" s="256"/>
      <c r="AR10" s="256"/>
    </row>
    <row r="11" spans="1:44" s="183" customFormat="1" x14ac:dyDescent="0.2">
      <c r="A11" s="206"/>
      <c r="B11" s="207" t="s">
        <v>194</v>
      </c>
      <c r="C11" s="207"/>
      <c r="D11" s="208">
        <v>0</v>
      </c>
      <c r="E11" s="214"/>
      <c r="F11" s="215"/>
      <c r="G11" s="208">
        <v>0</v>
      </c>
      <c r="H11" s="211">
        <v>0</v>
      </c>
      <c r="I11" s="222">
        <f>FACTORS!$C$19*D11/453.592</f>
        <v>0</v>
      </c>
      <c r="J11" s="404">
        <f>FACTORS!$D$19*D11/453.592</f>
        <v>0</v>
      </c>
      <c r="K11" s="405">
        <f>FACTORS!$E$19*D11/453.592</f>
        <v>0</v>
      </c>
      <c r="L11" s="202">
        <f>FACTORS!$F$19*D11/453.592</f>
        <v>0</v>
      </c>
      <c r="M11" s="202">
        <f>FACTORS!$G$19*D11/453.592</f>
        <v>0</v>
      </c>
      <c r="N11" s="201">
        <f>FACTORS!$H$19*D11/453.592</f>
        <v>0</v>
      </c>
      <c r="O11" s="202">
        <f>FACTORS!$I$19*D11/453.592</f>
        <v>0</v>
      </c>
      <c r="P11" s="202">
        <f>FACTORS!$J$19*D11/453.592</f>
        <v>0</v>
      </c>
      <c r="Q11" s="204">
        <f>FACTORS!$K$19*D11/453.592</f>
        <v>0</v>
      </c>
      <c r="R11" s="200">
        <f>I11*$G11*$H11/2000</f>
        <v>0</v>
      </c>
      <c r="S11" s="408">
        <f>J11*$G11*$H11/2000</f>
        <v>0</v>
      </c>
      <c r="T11" s="408">
        <f>K11*$G11*$H11/2000</f>
        <v>0</v>
      </c>
      <c r="U11" s="202">
        <f t="shared" ref="U11:Z11" si="2">L11*$G11*$H11/2000</f>
        <v>0</v>
      </c>
      <c r="V11" s="202">
        <f t="shared" si="2"/>
        <v>0</v>
      </c>
      <c r="W11" s="202">
        <f t="shared" si="2"/>
        <v>0</v>
      </c>
      <c r="X11" s="202">
        <f t="shared" si="2"/>
        <v>0</v>
      </c>
      <c r="Y11" s="202">
        <f t="shared" si="2"/>
        <v>0</v>
      </c>
      <c r="Z11" s="213">
        <f t="shared" si="2"/>
        <v>0</v>
      </c>
      <c r="AA11" s="256"/>
      <c r="AB11" s="256"/>
      <c r="AC11" s="256"/>
      <c r="AD11" s="256"/>
      <c r="AE11" s="256"/>
      <c r="AF11" s="256"/>
      <c r="AG11" s="256"/>
      <c r="AH11" s="256"/>
      <c r="AI11" s="256"/>
      <c r="AJ11" s="256"/>
      <c r="AK11" s="256"/>
      <c r="AL11" s="256"/>
      <c r="AM11" s="256"/>
      <c r="AN11" s="256"/>
      <c r="AO11" s="256"/>
      <c r="AP11" s="256"/>
      <c r="AQ11" s="256"/>
      <c r="AR11" s="256"/>
    </row>
    <row r="12" spans="1:44" s="183" customFormat="1" x14ac:dyDescent="0.2">
      <c r="A12" s="206"/>
      <c r="B12" s="207" t="s">
        <v>200</v>
      </c>
      <c r="C12" s="207"/>
      <c r="D12" s="208">
        <v>0</v>
      </c>
      <c r="E12" s="209">
        <f>FACTORS!$I$2*D12</f>
        <v>0</v>
      </c>
      <c r="F12" s="201">
        <f>E12*24</f>
        <v>0</v>
      </c>
      <c r="G12" s="210">
        <v>0</v>
      </c>
      <c r="H12" s="211">
        <v>0</v>
      </c>
      <c r="I12" s="406">
        <f>FACTORS!$C$18*D12/453.592</f>
        <v>0</v>
      </c>
      <c r="J12" s="404">
        <f>FACTORS!$D$18*D12/453.592</f>
        <v>0</v>
      </c>
      <c r="K12" s="405">
        <f>FACTORS!$E$18*D12/453.592</f>
        <v>0</v>
      </c>
      <c r="L12" s="202">
        <f>FACTORS!$F$18*D12/453.592</f>
        <v>0</v>
      </c>
      <c r="M12" s="202">
        <f>FACTORS!$G$18*D12/453.592</f>
        <v>0</v>
      </c>
      <c r="N12" s="201">
        <f>FACTORS!$H$18*D12/453.592</f>
        <v>0</v>
      </c>
      <c r="O12" s="202">
        <f>FACTORS!$I$18*D12/453.592</f>
        <v>0</v>
      </c>
      <c r="P12" s="202">
        <f>FACTORS!$J$18*D12/453.592</f>
        <v>0</v>
      </c>
      <c r="Q12" s="204">
        <f>FACTORS!$K$18*D12/453.592</f>
        <v>0</v>
      </c>
      <c r="R12" s="200">
        <f>IF(I12=0,0,I12*($F12/($E12*24))*$G12*$H12/2000)</f>
        <v>0</v>
      </c>
      <c r="S12" s="202">
        <f t="shared" ref="S12:W12" si="3">IF(J12=0,0,J12*($F12/($E12*24))*$G12*$H12/2000)</f>
        <v>0</v>
      </c>
      <c r="T12" s="202">
        <f t="shared" si="3"/>
        <v>0</v>
      </c>
      <c r="U12" s="202">
        <f t="shared" si="3"/>
        <v>0</v>
      </c>
      <c r="V12" s="202">
        <f t="shared" si="3"/>
        <v>0</v>
      </c>
      <c r="W12" s="202">
        <f t="shared" si="3"/>
        <v>0</v>
      </c>
      <c r="X12" s="202">
        <f>IFERROR(IF(O12=0,0,O12*($F12/($E12*24))*$G12*$H12/2000),"--")</f>
        <v>0</v>
      </c>
      <c r="Y12" s="202">
        <f t="shared" ref="Y12" si="4">IF(P12=0,0,P12*($F12/($E12*24))*$G12*$H12/2000)</f>
        <v>0</v>
      </c>
      <c r="Z12" s="213">
        <f>IFERROR(IF(Q12=0,0,Q12*($F12/($E12*24))*$G12*$H12/2000),"--")</f>
        <v>0</v>
      </c>
      <c r="AA12" s="256"/>
      <c r="AB12" s="256"/>
      <c r="AC12" s="256"/>
      <c r="AD12" s="256"/>
      <c r="AE12" s="256"/>
      <c r="AF12" s="256"/>
      <c r="AG12" s="256"/>
      <c r="AH12" s="256"/>
      <c r="AI12" s="256"/>
      <c r="AJ12" s="256"/>
      <c r="AK12" s="256"/>
      <c r="AL12" s="256"/>
      <c r="AM12" s="256"/>
      <c r="AN12" s="256"/>
      <c r="AO12" s="256"/>
      <c r="AP12" s="256"/>
      <c r="AQ12" s="256"/>
      <c r="AR12" s="256"/>
    </row>
    <row r="13" spans="1:44" ht="12.75" customHeight="1" x14ac:dyDescent="0.2">
      <c r="A13" s="61"/>
      <c r="B13" s="62"/>
      <c r="C13" s="62"/>
      <c r="D13" s="63"/>
      <c r="E13" s="64" t="s">
        <v>0</v>
      </c>
      <c r="F13" s="65"/>
      <c r="G13" s="66"/>
      <c r="H13" s="67"/>
      <c r="I13" s="59" t="s">
        <v>0</v>
      </c>
      <c r="J13" s="60"/>
      <c r="K13" s="374"/>
      <c r="L13" s="60" t="s">
        <v>0</v>
      </c>
      <c r="M13" s="60"/>
      <c r="N13" s="58"/>
      <c r="O13" s="60"/>
      <c r="P13" s="60"/>
      <c r="Q13" s="151"/>
      <c r="R13" s="75"/>
      <c r="S13" s="60"/>
      <c r="T13" s="60"/>
      <c r="U13" s="60"/>
      <c r="V13" s="60"/>
      <c r="W13" s="60"/>
      <c r="X13" s="60"/>
      <c r="Y13" s="60"/>
      <c r="Z13" s="110"/>
    </row>
    <row r="14" spans="1:44" s="183" customFormat="1" ht="12.75" customHeight="1" x14ac:dyDescent="0.2">
      <c r="A14" s="206" t="s">
        <v>183</v>
      </c>
      <c r="B14" s="207" t="s">
        <v>121</v>
      </c>
      <c r="C14" s="207"/>
      <c r="D14" s="208">
        <v>0</v>
      </c>
      <c r="E14" s="216">
        <f>FACTORS!$I$2*D14</f>
        <v>0</v>
      </c>
      <c r="F14" s="201">
        <f>E14*24</f>
        <v>0</v>
      </c>
      <c r="G14" s="210">
        <v>0</v>
      </c>
      <c r="H14" s="211">
        <v>0</v>
      </c>
      <c r="I14" s="236">
        <f>FACTORS!$C$17*D14/453.592</f>
        <v>0</v>
      </c>
      <c r="J14" s="407">
        <f>FACTORS!$D$17*D14/453.592</f>
        <v>0</v>
      </c>
      <c r="K14" s="409">
        <f>FACTORS!$E$17*D14/453.592</f>
        <v>0</v>
      </c>
      <c r="L14" s="219">
        <f>FACTORS!$F$17*D14/453.592</f>
        <v>0</v>
      </c>
      <c r="M14" s="219">
        <f>FACTORS!$G$17*D14/453.592</f>
        <v>0</v>
      </c>
      <c r="N14" s="218">
        <f>FACTORS!$H$17*D14/453.592</f>
        <v>0</v>
      </c>
      <c r="O14" s="219">
        <f>FACTORS!$I$17*D14/453.592</f>
        <v>0</v>
      </c>
      <c r="P14" s="219">
        <f>FACTORS!$J$17*D14/453.592</f>
        <v>0</v>
      </c>
      <c r="Q14" s="220">
        <f>FACTORS!$K$17*D14/453.592</f>
        <v>0</v>
      </c>
      <c r="R14" s="217">
        <f>IF(I14=0,0,I14*($F14/($E14*24))*$G14*$H14/2000)</f>
        <v>0</v>
      </c>
      <c r="S14" s="219">
        <f t="shared" ref="S14:W14" si="5">IF(J14=0,0,J14*($F14/($E14*24))*$G14*$H14/2000)</f>
        <v>0</v>
      </c>
      <c r="T14" s="219">
        <f t="shared" si="5"/>
        <v>0</v>
      </c>
      <c r="U14" s="219">
        <f t="shared" si="5"/>
        <v>0</v>
      </c>
      <c r="V14" s="219">
        <f t="shared" si="5"/>
        <v>0</v>
      </c>
      <c r="W14" s="219">
        <f t="shared" si="5"/>
        <v>0</v>
      </c>
      <c r="X14" s="219">
        <f>IFERROR(IF(O14=0,0,O14*($F14/($E14*24))*$G14*$H14/2000),"--")</f>
        <v>0</v>
      </c>
      <c r="Y14" s="219">
        <f t="shared" ref="Y14" si="6">IF(P14=0,0,P14*($F14/($E14*24))*$G14*$H14/2000)</f>
        <v>0</v>
      </c>
      <c r="Z14" s="221">
        <f>IFERROR(IF(Q14=0,0,Q14*($F14/($E14*24))*$G14*$H14/2000),"--")</f>
        <v>0</v>
      </c>
      <c r="AA14" s="256"/>
      <c r="AB14" s="256"/>
      <c r="AC14" s="256"/>
      <c r="AD14" s="256"/>
      <c r="AE14" s="256"/>
      <c r="AF14" s="256"/>
      <c r="AG14" s="256"/>
      <c r="AH14" s="256"/>
      <c r="AI14" s="256"/>
      <c r="AJ14" s="256"/>
      <c r="AK14" s="256"/>
      <c r="AL14" s="256"/>
      <c r="AM14" s="256"/>
      <c r="AN14" s="256"/>
      <c r="AO14" s="256"/>
      <c r="AP14" s="256"/>
      <c r="AQ14" s="256"/>
      <c r="AR14" s="256"/>
    </row>
    <row r="15" spans="1:44" ht="12.75" customHeight="1" x14ac:dyDescent="0.2">
      <c r="A15" s="61"/>
      <c r="B15" s="62"/>
      <c r="C15" s="62"/>
      <c r="D15" s="450" t="s">
        <v>205</v>
      </c>
      <c r="E15" s="64" t="s">
        <v>0</v>
      </c>
      <c r="F15" s="65"/>
      <c r="G15" s="66"/>
      <c r="H15" s="67"/>
      <c r="I15" s="59" t="s">
        <v>0</v>
      </c>
      <c r="J15" s="414" t="s">
        <v>0</v>
      </c>
      <c r="K15" s="415" t="s">
        <v>0</v>
      </c>
      <c r="L15" s="60" t="s">
        <v>0</v>
      </c>
      <c r="M15" s="60"/>
      <c r="N15" s="58"/>
      <c r="O15" s="60"/>
      <c r="P15" s="60"/>
      <c r="Q15" s="151"/>
      <c r="R15" s="75"/>
      <c r="S15" s="60"/>
      <c r="T15" s="60"/>
      <c r="U15" s="60"/>
      <c r="V15" s="60"/>
      <c r="W15" s="60"/>
      <c r="X15" s="68"/>
      <c r="Y15" s="68"/>
      <c r="Z15" s="69"/>
    </row>
    <row r="16" spans="1:44" ht="12.75" customHeight="1" x14ac:dyDescent="0.2">
      <c r="A16" s="230" t="s">
        <v>61</v>
      </c>
      <c r="B16" s="231" t="s">
        <v>31</v>
      </c>
      <c r="C16" s="232"/>
      <c r="D16" s="233">
        <v>0</v>
      </c>
      <c r="E16" s="227"/>
      <c r="F16" s="228"/>
      <c r="G16" s="234">
        <v>0</v>
      </c>
      <c r="H16" s="235">
        <v>0</v>
      </c>
      <c r="I16" s="236">
        <f>FACTORS!$C$27*D16/24</f>
        <v>0</v>
      </c>
      <c r="J16" s="407">
        <f>FACTORS!$D$27*D16/24</f>
        <v>0</v>
      </c>
      <c r="K16" s="409">
        <f>FACTORS!$E$27*D16/24</f>
        <v>0</v>
      </c>
      <c r="L16" s="219">
        <f>FACTORS!$F$27*D16/24</f>
        <v>0</v>
      </c>
      <c r="M16" s="219">
        <f>FACTORS!$G$27*D16/24</f>
        <v>0</v>
      </c>
      <c r="N16" s="218">
        <f>FACTORS!$H$27*D16/24</f>
        <v>0</v>
      </c>
      <c r="O16" s="218">
        <f>FACTORS!$I$27*D16/24</f>
        <v>0</v>
      </c>
      <c r="P16" s="219">
        <f>FACTORS!$J$27*D16/24</f>
        <v>0</v>
      </c>
      <c r="Q16" s="219">
        <f>FACTORS!$K$27*D16/24</f>
        <v>0</v>
      </c>
      <c r="R16" s="236">
        <f>IFERROR(I16*$G16*$H16/2000, "--")</f>
        <v>0</v>
      </c>
      <c r="S16" s="408">
        <f>IFERROR(J16*$G16*$H16/2000, "--")</f>
        <v>0</v>
      </c>
      <c r="T16" s="409">
        <f>IFERROR(K16*$G16*$H16/2000, "--")</f>
        <v>0</v>
      </c>
      <c r="U16" s="219">
        <f t="shared" ref="U16:Z16" si="7">IFERROR(L16*$G16*$H16/2000, "--")</f>
        <v>0</v>
      </c>
      <c r="V16" s="219">
        <f t="shared" si="7"/>
        <v>0</v>
      </c>
      <c r="W16" s="219">
        <f t="shared" si="7"/>
        <v>0</v>
      </c>
      <c r="X16" s="219">
        <f t="shared" si="7"/>
        <v>0</v>
      </c>
      <c r="Y16" s="218">
        <f t="shared" si="7"/>
        <v>0</v>
      </c>
      <c r="Z16" s="221">
        <f t="shared" si="7"/>
        <v>0</v>
      </c>
    </row>
    <row r="17" spans="1:44" ht="15" customHeight="1" x14ac:dyDescent="0.2">
      <c r="A17" s="237" t="s">
        <v>65</v>
      </c>
      <c r="B17" s="207" t="s">
        <v>128</v>
      </c>
      <c r="C17" s="238"/>
      <c r="D17" s="239"/>
      <c r="E17" s="209">
        <v>0</v>
      </c>
      <c r="F17" s="229" t="s">
        <v>0</v>
      </c>
      <c r="G17" s="208">
        <v>0</v>
      </c>
      <c r="H17" s="211">
        <v>0</v>
      </c>
      <c r="I17" s="222">
        <f>FACTORS!$C$22*E17/1000000</f>
        <v>0</v>
      </c>
      <c r="J17" s="408">
        <f>FACTORS!$D$22*E17/1000000</f>
        <v>0</v>
      </c>
      <c r="K17" s="404">
        <f>FACTORS!$E$22*E17/1000000</f>
        <v>0</v>
      </c>
      <c r="L17" s="202">
        <f>FACTORS!$F$22*E17/1000000</f>
        <v>0</v>
      </c>
      <c r="M17" s="202">
        <f>FACTORS!$G$22*E17/1000000</f>
        <v>0</v>
      </c>
      <c r="N17" s="201">
        <f>FACTORS!$H$22*E17/1000000</f>
        <v>0</v>
      </c>
      <c r="O17" s="202" t="str">
        <f>IFERROR(FACTORS!$I$22*E17/1000000,"--")</f>
        <v>--</v>
      </c>
      <c r="P17" s="202">
        <f>FACTORS!$J$22*E17/1000000</f>
        <v>0</v>
      </c>
      <c r="Q17" s="212" t="str">
        <f>IFERROR(FACTORS!$K$22*E17/1000000, "--")</f>
        <v>--</v>
      </c>
      <c r="R17" s="222">
        <f>IFERROR(I17*$G17*$H17/2000,"--")</f>
        <v>0</v>
      </c>
      <c r="S17" s="408">
        <f t="shared" ref="S17:Z20" si="8">IFERROR(J17*$G17*$H17/2000,"--")</f>
        <v>0</v>
      </c>
      <c r="T17" s="404">
        <f t="shared" si="8"/>
        <v>0</v>
      </c>
      <c r="U17" s="202">
        <f t="shared" si="8"/>
        <v>0</v>
      </c>
      <c r="V17" s="202">
        <f t="shared" si="8"/>
        <v>0</v>
      </c>
      <c r="W17" s="202">
        <f t="shared" si="8"/>
        <v>0</v>
      </c>
      <c r="X17" s="202" t="str">
        <f t="shared" si="8"/>
        <v>--</v>
      </c>
      <c r="Y17" s="202">
        <f t="shared" si="8"/>
        <v>0</v>
      </c>
      <c r="Z17" s="213" t="str">
        <f t="shared" si="8"/>
        <v>--</v>
      </c>
    </row>
    <row r="18" spans="1:44" ht="15" customHeight="1" x14ac:dyDescent="0.2">
      <c r="A18" s="237"/>
      <c r="B18" s="207" t="s">
        <v>129</v>
      </c>
      <c r="C18" s="207"/>
      <c r="D18" s="240"/>
      <c r="E18" s="209">
        <v>0</v>
      </c>
      <c r="F18" s="229" t="s">
        <v>0</v>
      </c>
      <c r="G18" s="208">
        <v>0</v>
      </c>
      <c r="H18" s="211">
        <v>0</v>
      </c>
      <c r="I18" s="222">
        <f>FACTORS!$C$23*E18/1000000</f>
        <v>0</v>
      </c>
      <c r="J18" s="408">
        <f>FACTORS!$D$23*E18/1000000</f>
        <v>0</v>
      </c>
      <c r="K18" s="404">
        <f>FACTORS!$E$23*E18/1000000</f>
        <v>0</v>
      </c>
      <c r="L18" s="202">
        <f>FACTORS!$F$23*E18/1000000</f>
        <v>0</v>
      </c>
      <c r="M18" s="202">
        <f>FACTORS!$G$23*E18/1000000</f>
        <v>0</v>
      </c>
      <c r="N18" s="201">
        <f>FACTORS!$H$23*E18/1000000</f>
        <v>0</v>
      </c>
      <c r="O18" s="202" t="str">
        <f>IFERROR(FACTORS!$I$23*E18/1000000, "--")</f>
        <v>--</v>
      </c>
      <c r="P18" s="202">
        <f>FACTORS!$J$23*E18/1000000</f>
        <v>0</v>
      </c>
      <c r="Q18" s="223" t="str">
        <f>IFERROR(FACTORS!$K$23*E18/1000000, "--")</f>
        <v>--</v>
      </c>
      <c r="R18" s="222">
        <f>IFERROR(I18*$G18*$H18/2000,"--")</f>
        <v>0</v>
      </c>
      <c r="S18" s="408">
        <f t="shared" si="8"/>
        <v>0</v>
      </c>
      <c r="T18" s="404">
        <f t="shared" si="8"/>
        <v>0</v>
      </c>
      <c r="U18" s="202">
        <f t="shared" si="8"/>
        <v>0</v>
      </c>
      <c r="V18" s="202">
        <f t="shared" si="8"/>
        <v>0</v>
      </c>
      <c r="W18" s="202">
        <f t="shared" si="8"/>
        <v>0</v>
      </c>
      <c r="X18" s="202" t="str">
        <f t="shared" si="8"/>
        <v>--</v>
      </c>
      <c r="Y18" s="202">
        <f t="shared" si="8"/>
        <v>0</v>
      </c>
      <c r="Z18" s="213" t="str">
        <f t="shared" si="8"/>
        <v>--</v>
      </c>
    </row>
    <row r="19" spans="1:44" ht="15" customHeight="1" x14ac:dyDescent="0.2">
      <c r="A19" s="237"/>
      <c r="B19" s="207" t="s">
        <v>130</v>
      </c>
      <c r="C19" s="207"/>
      <c r="D19" s="240"/>
      <c r="E19" s="209">
        <v>0</v>
      </c>
      <c r="F19" s="229" t="s">
        <v>0</v>
      </c>
      <c r="G19" s="208">
        <v>0</v>
      </c>
      <c r="H19" s="211">
        <v>0</v>
      </c>
      <c r="I19" s="222">
        <f>FACTORS!$C$24*E19/1000000</f>
        <v>0</v>
      </c>
      <c r="J19" s="408">
        <f>FACTORS!$D$24*E19/1000000</f>
        <v>0</v>
      </c>
      <c r="K19" s="404">
        <f>FACTORS!$E$24*E19/1000000</f>
        <v>0</v>
      </c>
      <c r="L19" s="202">
        <f>FACTORS!$F$24*E19/1000000</f>
        <v>0</v>
      </c>
      <c r="M19" s="202">
        <f>FACTORS!$G$24*E19/1000000</f>
        <v>0</v>
      </c>
      <c r="N19" s="201">
        <f>FACTORS!$H$24*E19/1000000</f>
        <v>0</v>
      </c>
      <c r="O19" s="202" t="str">
        <f>IFERROR(FACTORS!$I$24*E19/1000000, "--")</f>
        <v>--</v>
      </c>
      <c r="P19" s="202">
        <f>FACTORS!$J$24*E19/1000000</f>
        <v>0</v>
      </c>
      <c r="Q19" s="223" t="str">
        <f>IFERROR(FACTORS!$K$24*E19/1000000, "--")</f>
        <v>--</v>
      </c>
      <c r="R19" s="222">
        <f>IFERROR(I19*$G19*$H19/2000,"--")</f>
        <v>0</v>
      </c>
      <c r="S19" s="408">
        <f t="shared" si="8"/>
        <v>0</v>
      </c>
      <c r="T19" s="404">
        <f t="shared" si="8"/>
        <v>0</v>
      </c>
      <c r="U19" s="202">
        <f t="shared" si="8"/>
        <v>0</v>
      </c>
      <c r="V19" s="202">
        <f t="shared" si="8"/>
        <v>0</v>
      </c>
      <c r="W19" s="202">
        <f t="shared" si="8"/>
        <v>0</v>
      </c>
      <c r="X19" s="202" t="str">
        <f t="shared" si="8"/>
        <v>--</v>
      </c>
      <c r="Y19" s="202">
        <f t="shared" si="8"/>
        <v>0</v>
      </c>
      <c r="Z19" s="213" t="str">
        <f t="shared" si="8"/>
        <v>--</v>
      </c>
    </row>
    <row r="20" spans="1:44" ht="15" customHeight="1" x14ac:dyDescent="0.2">
      <c r="A20" s="237"/>
      <c r="B20" s="207" t="s">
        <v>131</v>
      </c>
      <c r="C20" s="207"/>
      <c r="D20" s="240"/>
      <c r="E20" s="209">
        <v>0</v>
      </c>
      <c r="F20" s="229" t="s">
        <v>0</v>
      </c>
      <c r="G20" s="208">
        <v>0</v>
      </c>
      <c r="H20" s="211">
        <v>0</v>
      </c>
      <c r="I20" s="222">
        <f>FACTORS!$C$25*E20/1000000</f>
        <v>0</v>
      </c>
      <c r="J20" s="408">
        <f>FACTORS!$D$25*E20/1000000</f>
        <v>0</v>
      </c>
      <c r="K20" s="404">
        <f>FACTORS!$E$25*E20/1000000</f>
        <v>0</v>
      </c>
      <c r="L20" s="202">
        <f>FACTORS!$F$25*E20/1000000</f>
        <v>0</v>
      </c>
      <c r="M20" s="202">
        <f>FACTORS!$G$25*E20/1000000</f>
        <v>0</v>
      </c>
      <c r="N20" s="201">
        <f>FACTORS!$H$25*E20/1000000</f>
        <v>0</v>
      </c>
      <c r="O20" s="202" t="str">
        <f>IFERROR(FACTORS!$I$25*E20/1000000, "--")</f>
        <v>--</v>
      </c>
      <c r="P20" s="202">
        <f>FACTORS!$J$25*E20/1000000</f>
        <v>0</v>
      </c>
      <c r="Q20" s="223" t="str">
        <f>IFERROR(FACTORS!$K$25*E20/1000000, "--")</f>
        <v>--</v>
      </c>
      <c r="R20" s="328">
        <f>IFERROR(I20*$G20*$H20/2000,"--")</f>
        <v>0</v>
      </c>
      <c r="S20" s="410">
        <f t="shared" si="8"/>
        <v>0</v>
      </c>
      <c r="T20" s="411">
        <f>IFERROR(K20*$G20*$H20/2000,"--")</f>
        <v>0</v>
      </c>
      <c r="U20" s="225">
        <f t="shared" si="8"/>
        <v>0</v>
      </c>
      <c r="V20" s="225">
        <f t="shared" si="8"/>
        <v>0</v>
      </c>
      <c r="W20" s="225">
        <f t="shared" si="8"/>
        <v>0</v>
      </c>
      <c r="X20" s="225" t="str">
        <f t="shared" si="8"/>
        <v>--</v>
      </c>
      <c r="Y20" s="225">
        <f t="shared" si="8"/>
        <v>0</v>
      </c>
      <c r="Z20" s="226" t="str">
        <f t="shared" si="8"/>
        <v>--</v>
      </c>
    </row>
    <row r="21" spans="1:44" ht="24.75" customHeight="1" x14ac:dyDescent="0.2">
      <c r="A21" s="360" t="s">
        <v>184</v>
      </c>
      <c r="B21" s="362" t="s">
        <v>160</v>
      </c>
      <c r="C21" s="157"/>
      <c r="D21" s="357" t="s">
        <v>100</v>
      </c>
      <c r="E21" s="74"/>
      <c r="F21" s="74"/>
      <c r="G21" s="169" t="s">
        <v>60</v>
      </c>
      <c r="H21" s="358" t="s">
        <v>71</v>
      </c>
      <c r="I21" s="375"/>
      <c r="J21" s="425"/>
      <c r="K21" s="426"/>
      <c r="L21" s="320"/>
      <c r="M21" s="320"/>
      <c r="N21" s="121"/>
      <c r="O21" s="320"/>
      <c r="P21" s="320"/>
      <c r="Q21" s="359"/>
      <c r="R21" s="59"/>
      <c r="S21" s="414"/>
      <c r="T21" s="415"/>
      <c r="U21" s="60"/>
      <c r="V21" s="60"/>
      <c r="W21" s="60"/>
      <c r="X21" s="60"/>
      <c r="Y21" s="60"/>
      <c r="Z21" s="110"/>
    </row>
    <row r="22" spans="1:44" s="183" customFormat="1" ht="12.75" customHeight="1" x14ac:dyDescent="0.2">
      <c r="A22" s="324"/>
      <c r="B22" s="271" t="s">
        <v>120</v>
      </c>
      <c r="C22" s="272"/>
      <c r="D22" s="273">
        <v>0</v>
      </c>
      <c r="E22" s="270"/>
      <c r="F22" s="270"/>
      <c r="G22" s="273">
        <v>0</v>
      </c>
      <c r="H22" s="325">
        <v>0</v>
      </c>
      <c r="I22" s="328">
        <f>FACTORS!$C$41*D22/453.592</f>
        <v>0</v>
      </c>
      <c r="J22" s="410">
        <f>FACTORS!$D$41*D22/453.592</f>
        <v>0</v>
      </c>
      <c r="K22" s="411">
        <f>FACTORS!$E$41*D22/453.592</f>
        <v>0</v>
      </c>
      <c r="L22" s="225">
        <f>FACTORS!$F$41*D22/453.592</f>
        <v>0</v>
      </c>
      <c r="M22" s="225">
        <f>FACTORS!$G$41*D22/453.592</f>
        <v>0</v>
      </c>
      <c r="N22" s="326">
        <f>FACTORS!$H$41*D22/453.592</f>
        <v>0</v>
      </c>
      <c r="O22" s="365" t="s">
        <v>108</v>
      </c>
      <c r="P22" s="225">
        <f>FACTORS!$J$41*D22/453.592</f>
        <v>0</v>
      </c>
      <c r="Q22" s="356">
        <f>FACTORS!$K$41*D22/453.592</f>
        <v>0</v>
      </c>
      <c r="R22" s="224">
        <f t="shared" ref="R22" si="9">IFERROR((I22*$G22*$H22)/2000, "")</f>
        <v>0</v>
      </c>
      <c r="S22" s="410">
        <f>IFERROR((J22*$G22*$H22)/2000, "")</f>
        <v>0</v>
      </c>
      <c r="T22" s="411">
        <f>IFERROR((K22*$G22*$H22)/2000, "")</f>
        <v>0</v>
      </c>
      <c r="U22" s="327">
        <f t="shared" ref="U22:W22" si="10">IFERROR((L22*$G22*$H22)/2000, "")</f>
        <v>0</v>
      </c>
      <c r="V22" s="327">
        <f t="shared" si="10"/>
        <v>0</v>
      </c>
      <c r="W22" s="327">
        <f t="shared" si="10"/>
        <v>0</v>
      </c>
      <c r="X22" s="327" t="str">
        <f>IFERROR((O22*$G22*$H22)/2000, "--")</f>
        <v>--</v>
      </c>
      <c r="Y22" s="327">
        <f t="shared" ref="Y22:Z22" si="11">IFERROR((P22*$G22*$H22)/2000, "")</f>
        <v>0</v>
      </c>
      <c r="Z22" s="226">
        <f t="shared" si="11"/>
        <v>0</v>
      </c>
      <c r="AA22" s="256"/>
      <c r="AB22" s="256"/>
      <c r="AC22" s="256"/>
      <c r="AD22" s="256"/>
      <c r="AE22" s="256"/>
      <c r="AF22" s="256"/>
      <c r="AG22" s="256"/>
      <c r="AH22" s="256"/>
      <c r="AI22" s="256"/>
      <c r="AJ22" s="256"/>
      <c r="AK22" s="256"/>
      <c r="AL22" s="256"/>
      <c r="AM22" s="256"/>
      <c r="AN22" s="256"/>
      <c r="AO22" s="256"/>
      <c r="AP22" s="256"/>
      <c r="AQ22" s="256"/>
      <c r="AR22" s="256"/>
    </row>
    <row r="23" spans="1:44" s="252" customFormat="1" ht="12.75" customHeight="1" x14ac:dyDescent="0.2">
      <c r="A23" s="248">
        <f>EMISSIONS5!A23+1</f>
        <v>2025</v>
      </c>
      <c r="B23" s="249" t="s">
        <v>123</v>
      </c>
      <c r="C23" s="355"/>
      <c r="D23" s="241"/>
      <c r="E23" s="241"/>
      <c r="F23" s="250"/>
      <c r="G23" s="241"/>
      <c r="H23" s="251"/>
      <c r="I23" s="379">
        <f t="shared" ref="I23:Q23" si="12">SUM(I7:I22)</f>
        <v>0</v>
      </c>
      <c r="J23" s="412">
        <f t="shared" si="12"/>
        <v>0</v>
      </c>
      <c r="K23" s="413">
        <f t="shared" si="12"/>
        <v>0</v>
      </c>
      <c r="L23" s="253">
        <f t="shared" si="12"/>
        <v>0</v>
      </c>
      <c r="M23" s="253">
        <f t="shared" si="12"/>
        <v>0</v>
      </c>
      <c r="N23" s="253">
        <f t="shared" si="12"/>
        <v>0</v>
      </c>
      <c r="O23" s="253">
        <f t="shared" si="12"/>
        <v>0</v>
      </c>
      <c r="P23" s="253">
        <f t="shared" si="12"/>
        <v>0</v>
      </c>
      <c r="Q23" s="253">
        <f t="shared" si="12"/>
        <v>0</v>
      </c>
      <c r="R23" s="382">
        <f t="shared" ref="R23:Z23" si="13">SUM(R7:R22)</f>
        <v>0</v>
      </c>
      <c r="S23" s="412">
        <f t="shared" si="13"/>
        <v>0</v>
      </c>
      <c r="T23" s="413">
        <f t="shared" si="13"/>
        <v>0</v>
      </c>
      <c r="U23" s="253">
        <f t="shared" si="13"/>
        <v>0</v>
      </c>
      <c r="V23" s="253">
        <f t="shared" si="13"/>
        <v>0</v>
      </c>
      <c r="W23" s="253">
        <f t="shared" si="13"/>
        <v>0</v>
      </c>
      <c r="X23" s="253">
        <f t="shared" si="13"/>
        <v>0</v>
      </c>
      <c r="Y23" s="253">
        <f t="shared" si="13"/>
        <v>0</v>
      </c>
      <c r="Z23" s="261">
        <f t="shared" si="13"/>
        <v>0</v>
      </c>
      <c r="AA23" s="256"/>
      <c r="AB23" s="256"/>
      <c r="AC23" s="256"/>
      <c r="AD23" s="256"/>
      <c r="AE23" s="256"/>
      <c r="AF23" s="256"/>
      <c r="AG23" s="256"/>
      <c r="AH23" s="256"/>
      <c r="AI23" s="256"/>
      <c r="AJ23" s="256"/>
      <c r="AK23" s="256"/>
      <c r="AL23" s="256"/>
      <c r="AM23" s="256"/>
      <c r="AN23" s="256"/>
      <c r="AO23" s="256"/>
      <c r="AP23" s="256"/>
      <c r="AQ23" s="256"/>
      <c r="AR23" s="256"/>
    </row>
    <row r="24" spans="1:44" ht="26.1" customHeight="1" x14ac:dyDescent="0.2">
      <c r="A24" s="280" t="s">
        <v>66</v>
      </c>
      <c r="B24" s="76" t="s">
        <v>67</v>
      </c>
      <c r="C24" s="76"/>
      <c r="D24" s="70"/>
      <c r="E24" s="70"/>
      <c r="F24" s="71"/>
      <c r="G24" s="70"/>
      <c r="H24" s="119"/>
      <c r="I24" s="376"/>
      <c r="J24" s="421"/>
      <c r="K24" s="422"/>
      <c r="L24" s="285"/>
      <c r="M24" s="285"/>
      <c r="N24" s="285"/>
      <c r="O24" s="285"/>
      <c r="P24" s="285"/>
      <c r="Q24" s="120"/>
      <c r="R24" s="378">
        <f>33.3*$B$25</f>
        <v>0</v>
      </c>
      <c r="S24" s="417"/>
      <c r="T24" s="418"/>
      <c r="U24" s="288">
        <f>33.3*$B$25</f>
        <v>0</v>
      </c>
      <c r="V24" s="288">
        <f>33.3*$B$25</f>
        <v>0</v>
      </c>
      <c r="W24" s="288">
        <f>33.3*$B$25</f>
        <v>0</v>
      </c>
      <c r="X24" s="288"/>
      <c r="Y24" s="288">
        <f>3400*$B$25^(2/3)</f>
        <v>0</v>
      </c>
      <c r="Z24" s="289"/>
    </row>
    <row r="25" spans="1:44" s="276" customFormat="1" ht="12.75" customHeight="1" x14ac:dyDescent="0.2">
      <c r="A25" s="350"/>
      <c r="B25" s="137">
        <f>EMISSIONS1!B25</f>
        <v>0</v>
      </c>
      <c r="C25" s="137"/>
      <c r="D25" s="11"/>
      <c r="E25" s="11"/>
      <c r="F25" s="136"/>
      <c r="G25" s="11"/>
      <c r="H25" s="72"/>
      <c r="I25" s="321"/>
      <c r="J25" s="387"/>
      <c r="K25" s="416"/>
      <c r="L25" s="153"/>
      <c r="M25" s="153"/>
      <c r="N25" s="153"/>
      <c r="O25" s="153"/>
      <c r="P25" s="153"/>
      <c r="Q25" s="351"/>
      <c r="R25" s="352"/>
      <c r="S25" s="419"/>
      <c r="T25" s="420"/>
      <c r="U25" s="353"/>
      <c r="V25" s="353"/>
      <c r="W25" s="353"/>
      <c r="X25" s="353"/>
      <c r="Y25" s="353"/>
      <c r="Z25" s="354"/>
      <c r="AA25" s="275"/>
      <c r="AB25" s="275"/>
      <c r="AC25" s="275"/>
      <c r="AD25" s="275"/>
      <c r="AE25" s="275"/>
      <c r="AF25" s="275"/>
      <c r="AG25" s="275"/>
      <c r="AH25" s="275"/>
      <c r="AI25" s="275"/>
      <c r="AJ25" s="275"/>
      <c r="AK25" s="275"/>
      <c r="AL25" s="275"/>
      <c r="AM25" s="275"/>
      <c r="AN25" s="275"/>
      <c r="AO25" s="275"/>
      <c r="AP25" s="275"/>
      <c r="AQ25" s="275"/>
      <c r="AR25" s="275"/>
    </row>
    <row r="26" spans="1:44" s="183" customFormat="1" ht="12.75" customHeight="1" x14ac:dyDescent="0.2">
      <c r="A26" s="174" t="s">
        <v>61</v>
      </c>
      <c r="B26" s="175" t="s">
        <v>114</v>
      </c>
      <c r="C26" s="175"/>
      <c r="D26" s="176">
        <v>0</v>
      </c>
      <c r="E26" s="177">
        <f>FACTORS!$I$2*D26</f>
        <v>0</v>
      </c>
      <c r="F26" s="178">
        <f t="shared" ref="F26:F32" si="14">E26*24</f>
        <v>0</v>
      </c>
      <c r="G26" s="179">
        <v>0</v>
      </c>
      <c r="H26" s="180">
        <v>0</v>
      </c>
      <c r="I26" s="184">
        <f>FACTORS!$C$17*D26/453.592</f>
        <v>0</v>
      </c>
      <c r="J26" s="332">
        <f>FACTORS!$D$17*D26/453.592</f>
        <v>0</v>
      </c>
      <c r="K26" s="246">
        <f>FACTORS!$E$17*D26/453.592</f>
        <v>0</v>
      </c>
      <c r="L26" s="181">
        <f>FACTORS!$F$17*D26/453.592</f>
        <v>0</v>
      </c>
      <c r="M26" s="181">
        <f>FACTORS!$G$17*D26/453.592</f>
        <v>0</v>
      </c>
      <c r="N26" s="178">
        <f>FACTORS!$H$17*D26/453.592</f>
        <v>0</v>
      </c>
      <c r="O26" s="181">
        <f>FACTORS!$I$17*D26/453.592</f>
        <v>0</v>
      </c>
      <c r="P26" s="181">
        <f>FACTORS!$J$17*D26/453.592</f>
        <v>0</v>
      </c>
      <c r="Q26" s="191">
        <f>FACTORS!$K$17*D26/453.592</f>
        <v>0</v>
      </c>
      <c r="R26" s="184">
        <f t="shared" ref="R26:W32" si="15">IF(I26=0,0,I26*($F26/($E26*24))*$G26*$H26/2000)</f>
        <v>0</v>
      </c>
      <c r="S26" s="332">
        <f t="shared" si="15"/>
        <v>0</v>
      </c>
      <c r="T26" s="246">
        <f t="shared" si="15"/>
        <v>0</v>
      </c>
      <c r="U26" s="181">
        <f t="shared" si="15"/>
        <v>0</v>
      </c>
      <c r="V26" s="181">
        <f t="shared" si="15"/>
        <v>0</v>
      </c>
      <c r="W26" s="181">
        <f t="shared" si="15"/>
        <v>0</v>
      </c>
      <c r="X26" s="181">
        <f t="shared" ref="X26:X32" si="16">IFERROR(IF(O26=0,0,O26*($F26/($E26*24))*$G26*$H26/2000),"--")</f>
        <v>0</v>
      </c>
      <c r="Y26" s="181">
        <f t="shared" ref="Y26:Y32" si="17">IF(P26=0,0,P26*($F26/($E26*24))*$G26*$H26/2000)</f>
        <v>0</v>
      </c>
      <c r="Z26" s="182">
        <f t="shared" ref="Z26:Z32" si="18">IFERROR(IF(Q26=0,0,Q26*($F26/($E26*24))*$G26*$H26/2000),"--")</f>
        <v>0</v>
      </c>
      <c r="AA26" s="256"/>
      <c r="AB26" s="256"/>
      <c r="AC26" s="256"/>
      <c r="AD26" s="256"/>
      <c r="AE26" s="256"/>
      <c r="AF26" s="256"/>
      <c r="AG26" s="256"/>
      <c r="AH26" s="256"/>
      <c r="AI26" s="256"/>
      <c r="AJ26" s="256"/>
      <c r="AK26" s="256"/>
      <c r="AL26" s="256"/>
      <c r="AM26" s="256"/>
      <c r="AN26" s="256"/>
      <c r="AO26" s="256"/>
      <c r="AP26" s="256"/>
      <c r="AQ26" s="256"/>
      <c r="AR26" s="256"/>
    </row>
    <row r="27" spans="1:44" s="183" customFormat="1" x14ac:dyDescent="0.2">
      <c r="A27" s="174"/>
      <c r="B27" s="175" t="s">
        <v>115</v>
      </c>
      <c r="C27" s="175"/>
      <c r="D27" s="176">
        <v>0</v>
      </c>
      <c r="E27" s="177">
        <f>FACTORS!$I$2*D27</f>
        <v>0</v>
      </c>
      <c r="F27" s="178">
        <f t="shared" si="14"/>
        <v>0</v>
      </c>
      <c r="G27" s="176">
        <v>0</v>
      </c>
      <c r="H27" s="180">
        <v>0</v>
      </c>
      <c r="I27" s="184">
        <f>FACTORS!$C$17*D27/453.592</f>
        <v>0</v>
      </c>
      <c r="J27" s="181">
        <f>FACTORS!$D$17*D27/453.592</f>
        <v>0</v>
      </c>
      <c r="K27" s="246">
        <f>FACTORS!$E$17*D27/453.592</f>
        <v>0</v>
      </c>
      <c r="L27" s="181">
        <f>FACTORS!$F$17*D27/453.592</f>
        <v>0</v>
      </c>
      <c r="M27" s="181">
        <f>FACTORS!$G$17*D27/453.592</f>
        <v>0</v>
      </c>
      <c r="N27" s="178">
        <f>FACTORS!$H$17*D27/453.592</f>
        <v>0</v>
      </c>
      <c r="O27" s="181">
        <f>FACTORS!$I$17*D27/453.592</f>
        <v>0</v>
      </c>
      <c r="P27" s="181">
        <f>FACTORS!$J$17*D27/453.592</f>
        <v>0</v>
      </c>
      <c r="Q27" s="191">
        <f>FACTORS!$K$17*D27/453.592</f>
        <v>0</v>
      </c>
      <c r="R27" s="184">
        <f t="shared" si="15"/>
        <v>0</v>
      </c>
      <c r="S27" s="181">
        <f t="shared" si="15"/>
        <v>0</v>
      </c>
      <c r="T27" s="181">
        <f t="shared" si="15"/>
        <v>0</v>
      </c>
      <c r="U27" s="181">
        <f t="shared" si="15"/>
        <v>0</v>
      </c>
      <c r="V27" s="181">
        <f t="shared" si="15"/>
        <v>0</v>
      </c>
      <c r="W27" s="181">
        <f t="shared" si="15"/>
        <v>0</v>
      </c>
      <c r="X27" s="181">
        <f t="shared" si="16"/>
        <v>0</v>
      </c>
      <c r="Y27" s="181">
        <f t="shared" si="17"/>
        <v>0</v>
      </c>
      <c r="Z27" s="182">
        <f t="shared" si="18"/>
        <v>0</v>
      </c>
      <c r="AA27" s="256"/>
      <c r="AB27" s="256"/>
      <c r="AC27" s="256"/>
      <c r="AD27" s="256"/>
      <c r="AE27" s="256"/>
      <c r="AF27" s="256"/>
      <c r="AG27" s="256"/>
      <c r="AH27" s="256"/>
      <c r="AI27" s="256"/>
      <c r="AJ27" s="256"/>
      <c r="AK27" s="256"/>
      <c r="AL27" s="256"/>
      <c r="AM27" s="256"/>
      <c r="AN27" s="256"/>
      <c r="AO27" s="256"/>
      <c r="AP27" s="256"/>
      <c r="AQ27" s="256"/>
      <c r="AR27" s="256"/>
    </row>
    <row r="28" spans="1:44" s="183" customFormat="1" x14ac:dyDescent="0.2">
      <c r="A28" s="174"/>
      <c r="B28" s="175" t="s">
        <v>116</v>
      </c>
      <c r="C28" s="175"/>
      <c r="D28" s="176">
        <v>0</v>
      </c>
      <c r="E28" s="177">
        <f>FACTORS!$I$2*D28</f>
        <v>0</v>
      </c>
      <c r="F28" s="178">
        <f t="shared" si="14"/>
        <v>0</v>
      </c>
      <c r="G28" s="176">
        <v>0</v>
      </c>
      <c r="H28" s="180">
        <v>0</v>
      </c>
      <c r="I28" s="184">
        <f>FACTORS!$C$17*D28/453.592</f>
        <v>0</v>
      </c>
      <c r="J28" s="181">
        <f>FACTORS!$D$17*D28/453.592</f>
        <v>0</v>
      </c>
      <c r="K28" s="246">
        <f>FACTORS!$E$17*D28/453.592</f>
        <v>0</v>
      </c>
      <c r="L28" s="181">
        <f>FACTORS!$F$17*D28/453.592</f>
        <v>0</v>
      </c>
      <c r="M28" s="181">
        <f>FACTORS!$G$17*D28/453.592</f>
        <v>0</v>
      </c>
      <c r="N28" s="178">
        <f>FACTORS!$H$17*D28/453.592</f>
        <v>0</v>
      </c>
      <c r="O28" s="181">
        <f>FACTORS!$I$17*D28/453.592</f>
        <v>0</v>
      </c>
      <c r="P28" s="181">
        <f>FACTORS!$J$17*D28/453.592</f>
        <v>0</v>
      </c>
      <c r="Q28" s="191">
        <f>FACTORS!$K$17*D28/453.592</f>
        <v>0</v>
      </c>
      <c r="R28" s="184">
        <f t="shared" si="15"/>
        <v>0</v>
      </c>
      <c r="S28" s="181">
        <f t="shared" si="15"/>
        <v>0</v>
      </c>
      <c r="T28" s="181">
        <f t="shared" si="15"/>
        <v>0</v>
      </c>
      <c r="U28" s="181">
        <f t="shared" si="15"/>
        <v>0</v>
      </c>
      <c r="V28" s="181">
        <f t="shared" si="15"/>
        <v>0</v>
      </c>
      <c r="W28" s="181">
        <f t="shared" si="15"/>
        <v>0</v>
      </c>
      <c r="X28" s="181">
        <f t="shared" si="16"/>
        <v>0</v>
      </c>
      <c r="Y28" s="181">
        <f t="shared" si="17"/>
        <v>0</v>
      </c>
      <c r="Z28" s="182">
        <f t="shared" si="18"/>
        <v>0</v>
      </c>
      <c r="AA28" s="256"/>
      <c r="AB28" s="256"/>
      <c r="AC28" s="256"/>
      <c r="AD28" s="256"/>
      <c r="AE28" s="256"/>
      <c r="AF28" s="256"/>
      <c r="AG28" s="256"/>
      <c r="AH28" s="256"/>
      <c r="AI28" s="256"/>
      <c r="AJ28" s="256"/>
      <c r="AK28" s="256"/>
      <c r="AL28" s="256"/>
      <c r="AM28" s="256"/>
      <c r="AN28" s="256"/>
      <c r="AO28" s="256"/>
      <c r="AP28" s="256"/>
      <c r="AQ28" s="256"/>
      <c r="AR28" s="256"/>
    </row>
    <row r="29" spans="1:44" s="183" customFormat="1" ht="12.75" customHeight="1" x14ac:dyDescent="0.2">
      <c r="A29" s="174" t="s">
        <v>63</v>
      </c>
      <c r="B29" s="175" t="s">
        <v>118</v>
      </c>
      <c r="C29" s="175"/>
      <c r="D29" s="176">
        <v>0</v>
      </c>
      <c r="E29" s="177">
        <f>FACTORS!$I$2*D29</f>
        <v>0</v>
      </c>
      <c r="F29" s="178">
        <f t="shared" si="14"/>
        <v>0</v>
      </c>
      <c r="G29" s="179">
        <v>0</v>
      </c>
      <c r="H29" s="180">
        <v>0</v>
      </c>
      <c r="I29" s="184">
        <f>FACTORS!$C$17*D29/453.592</f>
        <v>0</v>
      </c>
      <c r="J29" s="181">
        <f>FACTORS!$D$17*D29/453.592</f>
        <v>0</v>
      </c>
      <c r="K29" s="246">
        <f>FACTORS!$E$17*D29/453.592</f>
        <v>0</v>
      </c>
      <c r="L29" s="181">
        <f>FACTORS!$F$17*D29/453.592</f>
        <v>0</v>
      </c>
      <c r="M29" s="181">
        <f>FACTORS!$G$17*D29/453.592</f>
        <v>0</v>
      </c>
      <c r="N29" s="178">
        <f>FACTORS!$H$17*D29/453.592</f>
        <v>0</v>
      </c>
      <c r="O29" s="181">
        <f>FACTORS!$I$17*D29/453.592</f>
        <v>0</v>
      </c>
      <c r="P29" s="181">
        <f>FACTORS!$J$17*D29/453.592</f>
        <v>0</v>
      </c>
      <c r="Q29" s="191">
        <f>FACTORS!$K$17*D29/453.592</f>
        <v>0</v>
      </c>
      <c r="R29" s="184">
        <f t="shared" si="15"/>
        <v>0</v>
      </c>
      <c r="S29" s="181">
        <f t="shared" si="15"/>
        <v>0</v>
      </c>
      <c r="T29" s="181">
        <f t="shared" si="15"/>
        <v>0</v>
      </c>
      <c r="U29" s="181">
        <f t="shared" si="15"/>
        <v>0</v>
      </c>
      <c r="V29" s="181">
        <f t="shared" si="15"/>
        <v>0</v>
      </c>
      <c r="W29" s="181">
        <f t="shared" si="15"/>
        <v>0</v>
      </c>
      <c r="X29" s="181">
        <f t="shared" si="16"/>
        <v>0</v>
      </c>
      <c r="Y29" s="181">
        <f t="shared" si="17"/>
        <v>0</v>
      </c>
      <c r="Z29" s="182">
        <f t="shared" si="18"/>
        <v>0</v>
      </c>
      <c r="AA29" s="256"/>
      <c r="AB29" s="256"/>
      <c r="AC29" s="256"/>
      <c r="AD29" s="256"/>
      <c r="AE29" s="256"/>
      <c r="AF29" s="256"/>
      <c r="AG29" s="256"/>
      <c r="AH29" s="256"/>
      <c r="AI29" s="256"/>
      <c r="AJ29" s="256"/>
      <c r="AK29" s="256"/>
      <c r="AL29" s="256"/>
      <c r="AM29" s="256"/>
      <c r="AN29" s="256"/>
      <c r="AO29" s="256"/>
      <c r="AP29" s="256"/>
      <c r="AQ29" s="256"/>
      <c r="AR29" s="256"/>
    </row>
    <row r="30" spans="1:44" s="183" customFormat="1" ht="12.75" customHeight="1" x14ac:dyDescent="0.2">
      <c r="A30" s="174" t="s">
        <v>62</v>
      </c>
      <c r="B30" s="175" t="s">
        <v>117</v>
      </c>
      <c r="C30" s="175"/>
      <c r="D30" s="176">
        <v>0</v>
      </c>
      <c r="E30" s="177">
        <f>FACTORS!$I$2*D30</f>
        <v>0</v>
      </c>
      <c r="F30" s="178">
        <f t="shared" si="14"/>
        <v>0</v>
      </c>
      <c r="G30" s="179">
        <v>0</v>
      </c>
      <c r="H30" s="180">
        <v>0</v>
      </c>
      <c r="I30" s="184">
        <f>FACTORS!$C$17*D30/453.592</f>
        <v>0</v>
      </c>
      <c r="J30" s="181">
        <f>FACTORS!$D$17*D30/453.592</f>
        <v>0</v>
      </c>
      <c r="K30" s="246">
        <f>FACTORS!$E$17*D30/453.592</f>
        <v>0</v>
      </c>
      <c r="L30" s="181">
        <f>FACTORS!$F$17*D30/453.592</f>
        <v>0</v>
      </c>
      <c r="M30" s="181">
        <f>FACTORS!$G$17*D30/453.592</f>
        <v>0</v>
      </c>
      <c r="N30" s="178">
        <f>FACTORS!$H$17*D30/453.592</f>
        <v>0</v>
      </c>
      <c r="O30" s="181">
        <f>FACTORS!$I$17*D30/453.592</f>
        <v>0</v>
      </c>
      <c r="P30" s="181">
        <f>FACTORS!$J$17*D30/453.592</f>
        <v>0</v>
      </c>
      <c r="Q30" s="191">
        <f>FACTORS!$K$17*D30/453.592</f>
        <v>0</v>
      </c>
      <c r="R30" s="184">
        <f t="shared" si="15"/>
        <v>0</v>
      </c>
      <c r="S30" s="181">
        <f t="shared" si="15"/>
        <v>0</v>
      </c>
      <c r="T30" s="181">
        <f t="shared" si="15"/>
        <v>0</v>
      </c>
      <c r="U30" s="181">
        <f t="shared" si="15"/>
        <v>0</v>
      </c>
      <c r="V30" s="181">
        <f t="shared" si="15"/>
        <v>0</v>
      </c>
      <c r="W30" s="181">
        <f t="shared" si="15"/>
        <v>0</v>
      </c>
      <c r="X30" s="181">
        <f t="shared" si="16"/>
        <v>0</v>
      </c>
      <c r="Y30" s="181">
        <f t="shared" si="17"/>
        <v>0</v>
      </c>
      <c r="Z30" s="182">
        <f t="shared" si="18"/>
        <v>0</v>
      </c>
      <c r="AA30" s="256"/>
      <c r="AB30" s="256"/>
      <c r="AC30" s="256"/>
      <c r="AD30" s="256"/>
      <c r="AE30" s="256"/>
      <c r="AF30" s="256"/>
      <c r="AG30" s="256"/>
      <c r="AH30" s="256"/>
      <c r="AI30" s="256"/>
      <c r="AJ30" s="256"/>
      <c r="AK30" s="256"/>
      <c r="AL30" s="256"/>
      <c r="AM30" s="256"/>
      <c r="AN30" s="256"/>
      <c r="AO30" s="256"/>
      <c r="AP30" s="256"/>
      <c r="AQ30" s="256"/>
      <c r="AR30" s="256"/>
    </row>
    <row r="31" spans="1:44" s="183" customFormat="1" x14ac:dyDescent="0.2">
      <c r="A31" s="174"/>
      <c r="B31" s="175" t="s">
        <v>115</v>
      </c>
      <c r="C31" s="175"/>
      <c r="D31" s="176">
        <v>0</v>
      </c>
      <c r="E31" s="177">
        <f>FACTORS!$I$2*D31</f>
        <v>0</v>
      </c>
      <c r="F31" s="178">
        <f t="shared" si="14"/>
        <v>0</v>
      </c>
      <c r="G31" s="176">
        <v>0</v>
      </c>
      <c r="H31" s="180">
        <v>0</v>
      </c>
      <c r="I31" s="184">
        <f>FACTORS!$C$17*D31/453.592</f>
        <v>0</v>
      </c>
      <c r="J31" s="181">
        <f>FACTORS!$D$17*D31/453.592</f>
        <v>0</v>
      </c>
      <c r="K31" s="246">
        <f>FACTORS!$E$17*D31/453.592</f>
        <v>0</v>
      </c>
      <c r="L31" s="181">
        <f>FACTORS!$F$17*D31/453.592</f>
        <v>0</v>
      </c>
      <c r="M31" s="181">
        <f>FACTORS!$G$17*D31/453.592</f>
        <v>0</v>
      </c>
      <c r="N31" s="178">
        <f>FACTORS!$H$17*D31/453.592</f>
        <v>0</v>
      </c>
      <c r="O31" s="181">
        <f>FACTORS!$I$17*D31/453.592</f>
        <v>0</v>
      </c>
      <c r="P31" s="181">
        <f>FACTORS!$J$17*D31/453.592</f>
        <v>0</v>
      </c>
      <c r="Q31" s="191">
        <f>FACTORS!$K$17*D31/453.592</f>
        <v>0</v>
      </c>
      <c r="R31" s="184">
        <f t="shared" si="15"/>
        <v>0</v>
      </c>
      <c r="S31" s="181">
        <f t="shared" si="15"/>
        <v>0</v>
      </c>
      <c r="T31" s="181">
        <f t="shared" si="15"/>
        <v>0</v>
      </c>
      <c r="U31" s="181">
        <f t="shared" si="15"/>
        <v>0</v>
      </c>
      <c r="V31" s="181">
        <f t="shared" si="15"/>
        <v>0</v>
      </c>
      <c r="W31" s="181">
        <f t="shared" si="15"/>
        <v>0</v>
      </c>
      <c r="X31" s="181">
        <f t="shared" si="16"/>
        <v>0</v>
      </c>
      <c r="Y31" s="181">
        <f t="shared" si="17"/>
        <v>0</v>
      </c>
      <c r="Z31" s="182">
        <f t="shared" si="18"/>
        <v>0</v>
      </c>
      <c r="AA31" s="256"/>
      <c r="AB31" s="256"/>
      <c r="AC31" s="256"/>
      <c r="AD31" s="256"/>
      <c r="AE31" s="256"/>
      <c r="AF31" s="256"/>
      <c r="AG31" s="256"/>
      <c r="AH31" s="256"/>
      <c r="AI31" s="256"/>
      <c r="AJ31" s="256"/>
      <c r="AK31" s="256"/>
      <c r="AL31" s="256"/>
      <c r="AM31" s="256"/>
      <c r="AN31" s="256"/>
      <c r="AO31" s="256"/>
      <c r="AP31" s="256"/>
      <c r="AQ31" s="256"/>
      <c r="AR31" s="256"/>
    </row>
    <row r="32" spans="1:44" s="183" customFormat="1" ht="12.75" customHeight="1" x14ac:dyDescent="0.2">
      <c r="A32" s="339" t="s">
        <v>64</v>
      </c>
      <c r="B32" s="340" t="s">
        <v>119</v>
      </c>
      <c r="C32" s="340"/>
      <c r="D32" s="341">
        <v>0</v>
      </c>
      <c r="E32" s="342">
        <f>FACTORS!$I$2*D32</f>
        <v>0</v>
      </c>
      <c r="F32" s="343">
        <f t="shared" si="14"/>
        <v>0</v>
      </c>
      <c r="G32" s="344">
        <v>0</v>
      </c>
      <c r="H32" s="345">
        <v>0</v>
      </c>
      <c r="I32" s="346">
        <f>FACTORS!$C$17*D32/453.592</f>
        <v>0</v>
      </c>
      <c r="J32" s="347">
        <f>FACTORS!$D$17*D32/453.592</f>
        <v>0</v>
      </c>
      <c r="K32" s="427">
        <f>FACTORS!$E$17*D32/453.592</f>
        <v>0</v>
      </c>
      <c r="L32" s="347">
        <f>FACTORS!$F$17*D32/453.592</f>
        <v>0</v>
      </c>
      <c r="M32" s="347">
        <f>FACTORS!$G$17*D32/453.592</f>
        <v>0</v>
      </c>
      <c r="N32" s="343">
        <f>FACTORS!$H$17*D32/453.592</f>
        <v>0</v>
      </c>
      <c r="O32" s="347">
        <f>FACTORS!$I$17*D32/453.592</f>
        <v>0</v>
      </c>
      <c r="P32" s="347">
        <f>FACTORS!$J$17*D32/453.592</f>
        <v>0</v>
      </c>
      <c r="Q32" s="348">
        <f>FACTORS!$K$17*D32/453.592</f>
        <v>0</v>
      </c>
      <c r="R32" s="346">
        <f t="shared" si="15"/>
        <v>0</v>
      </c>
      <c r="S32" s="347">
        <f t="shared" si="15"/>
        <v>0</v>
      </c>
      <c r="T32" s="347">
        <f>IF(K32=0,0,K32*($F32/($E32*24))*$G32*$H32/2000)</f>
        <v>0</v>
      </c>
      <c r="U32" s="347">
        <f t="shared" si="15"/>
        <v>0</v>
      </c>
      <c r="V32" s="347">
        <f t="shared" si="15"/>
        <v>0</v>
      </c>
      <c r="W32" s="347">
        <f t="shared" si="15"/>
        <v>0</v>
      </c>
      <c r="X32" s="347">
        <f t="shared" si="16"/>
        <v>0</v>
      </c>
      <c r="Y32" s="347">
        <f t="shared" si="17"/>
        <v>0</v>
      </c>
      <c r="Z32" s="349">
        <f t="shared" si="18"/>
        <v>0</v>
      </c>
      <c r="AA32" s="256"/>
      <c r="AB32" s="256"/>
      <c r="AC32" s="256"/>
      <c r="AD32" s="256"/>
      <c r="AE32" s="256"/>
      <c r="AF32" s="256"/>
      <c r="AG32" s="256"/>
      <c r="AH32" s="256"/>
      <c r="AI32" s="256"/>
      <c r="AJ32" s="256"/>
      <c r="AK32" s="256"/>
      <c r="AL32" s="256"/>
      <c r="AM32" s="256"/>
      <c r="AN32" s="256"/>
      <c r="AO32" s="256"/>
      <c r="AP32" s="256"/>
      <c r="AQ32" s="256"/>
      <c r="AR32" s="256"/>
    </row>
    <row r="33" spans="1:44" ht="27.75" customHeight="1" x14ac:dyDescent="0.2">
      <c r="A33" s="361" t="s">
        <v>184</v>
      </c>
      <c r="B33" s="363" t="s">
        <v>107</v>
      </c>
      <c r="C33" s="111"/>
      <c r="D33" s="122"/>
      <c r="E33" s="42" t="s">
        <v>53</v>
      </c>
      <c r="F33" s="43" t="s">
        <v>54</v>
      </c>
      <c r="G33" s="50"/>
      <c r="H33" s="119"/>
      <c r="I33" s="158"/>
      <c r="J33" s="387"/>
      <c r="K33" s="416"/>
      <c r="L33" s="153"/>
      <c r="M33" s="153"/>
      <c r="N33" s="73"/>
      <c r="O33" s="153"/>
      <c r="P33" s="153"/>
      <c r="Q33" s="120"/>
      <c r="R33" s="158"/>
      <c r="S33" s="387"/>
      <c r="T33" s="387"/>
      <c r="U33" s="153"/>
      <c r="V33" s="153"/>
      <c r="W33" s="153"/>
      <c r="X33" s="153"/>
      <c r="Y33" s="153"/>
      <c r="Z33" s="322"/>
    </row>
    <row r="34" spans="1:44" ht="12.75" customHeight="1" x14ac:dyDescent="0.2">
      <c r="A34" s="330"/>
      <c r="B34" s="364" t="s">
        <v>148</v>
      </c>
      <c r="C34" s="333"/>
      <c r="D34" s="334" t="s">
        <v>132</v>
      </c>
      <c r="E34" s="74"/>
      <c r="F34" s="74"/>
      <c r="G34" s="335"/>
      <c r="H34" s="336"/>
      <c r="I34" s="337"/>
      <c r="J34" s="423"/>
      <c r="K34" s="424"/>
      <c r="L34" s="68"/>
      <c r="M34" s="68"/>
      <c r="N34" s="329"/>
      <c r="O34" s="68"/>
      <c r="P34" s="68"/>
      <c r="Q34" s="338"/>
      <c r="R34" s="337"/>
      <c r="S34" s="423"/>
      <c r="T34" s="423"/>
      <c r="U34" s="68"/>
      <c r="V34" s="68"/>
      <c r="W34" s="68"/>
      <c r="X34" s="68"/>
      <c r="Y34" s="68"/>
      <c r="Z34" s="69"/>
    </row>
    <row r="35" spans="1:44" ht="12.75" customHeight="1" x14ac:dyDescent="0.2">
      <c r="A35" s="330"/>
      <c r="B35" s="363" t="s">
        <v>160</v>
      </c>
      <c r="C35" s="157"/>
      <c r="D35" s="122" t="s">
        <v>100</v>
      </c>
      <c r="E35" s="74"/>
      <c r="F35" s="74"/>
      <c r="G35" s="70" t="s">
        <v>60</v>
      </c>
      <c r="H35" s="119" t="s">
        <v>71</v>
      </c>
      <c r="I35" s="158"/>
      <c r="J35" s="387"/>
      <c r="K35" s="416"/>
      <c r="L35" s="153"/>
      <c r="M35" s="153"/>
      <c r="N35" s="73"/>
      <c r="O35" s="153"/>
      <c r="P35" s="153"/>
      <c r="Q35" s="120"/>
      <c r="R35" s="319"/>
      <c r="S35" s="423"/>
      <c r="T35" s="424"/>
      <c r="U35" s="68"/>
      <c r="V35" s="68"/>
      <c r="W35" s="68"/>
      <c r="X35" s="68"/>
      <c r="Y35" s="68"/>
      <c r="Z35" s="69"/>
    </row>
    <row r="36" spans="1:44" s="183" customFormat="1" ht="12.75" customHeight="1" x14ac:dyDescent="0.2">
      <c r="A36" s="174"/>
      <c r="B36" s="242" t="s">
        <v>153</v>
      </c>
      <c r="C36" s="323"/>
      <c r="D36" s="244"/>
      <c r="E36" s="176">
        <v>0</v>
      </c>
      <c r="F36" s="245">
        <f>E36*24</f>
        <v>0</v>
      </c>
      <c r="G36" s="176">
        <v>0</v>
      </c>
      <c r="H36" s="180">
        <v>0</v>
      </c>
      <c r="I36" s="184">
        <f>IFERROR(FACTORS!$C$34*E36,"--")</f>
        <v>0</v>
      </c>
      <c r="J36" s="181">
        <f>IFERROR(FACTORS!$D$34*E36,"--")</f>
        <v>0</v>
      </c>
      <c r="K36" s="246">
        <f>IFERROR(FACTORS!$E$34*E36,"--")</f>
        <v>0</v>
      </c>
      <c r="L36" s="178">
        <f>IFERROR(FACTORS!$F$34*E36,"--")</f>
        <v>0</v>
      </c>
      <c r="M36" s="178">
        <f>IFERROR(FACTORS!$G$34*E36,"--")</f>
        <v>0</v>
      </c>
      <c r="N36" s="178">
        <f>IFERROR(FACTORS!$H$34*E36,"--")</f>
        <v>0</v>
      </c>
      <c r="O36" s="181" t="str">
        <f>IFERROR(FACTORS!$I$34*E36,"--")</f>
        <v>--</v>
      </c>
      <c r="P36" s="181">
        <f>IFERROR(FACTORS!$J$34*E36,"--")</f>
        <v>0</v>
      </c>
      <c r="Q36" s="191">
        <f>IFERROR(FACTORS!$K$34*E36,"--")</f>
        <v>0</v>
      </c>
      <c r="R36" s="331">
        <f t="shared" ref="R36:S42" si="19">IFERROR((I36*$G36*$H36)/2000, "")</f>
        <v>0</v>
      </c>
      <c r="S36" s="332">
        <f>IFERROR((J36*$G36*$H36)/2000, "")</f>
        <v>0</v>
      </c>
      <c r="T36" s="317">
        <f t="shared" ref="T36:W43" si="20">IFERROR((K36*$G36*$H36)/2000, "")</f>
        <v>0</v>
      </c>
      <c r="U36" s="317">
        <f t="shared" si="20"/>
        <v>0</v>
      </c>
      <c r="V36" s="317">
        <f t="shared" si="20"/>
        <v>0</v>
      </c>
      <c r="W36" s="317">
        <f t="shared" si="20"/>
        <v>0</v>
      </c>
      <c r="X36" s="317" t="str">
        <f t="shared" ref="X36:X43" si="21">IFERROR((O36*$G36*$H36)/2000, "--")</f>
        <v>--</v>
      </c>
      <c r="Y36" s="317">
        <f t="shared" ref="Y36:Z43" si="22">IFERROR((P36*$G36*$H36)/2000, "")</f>
        <v>0</v>
      </c>
      <c r="Z36" s="318">
        <f t="shared" si="22"/>
        <v>0</v>
      </c>
      <c r="AA36" s="256"/>
      <c r="AB36" s="256"/>
      <c r="AC36" s="256"/>
      <c r="AD36" s="256"/>
      <c r="AE36" s="256"/>
      <c r="AF36" s="256"/>
      <c r="AG36" s="256"/>
      <c r="AH36" s="256"/>
      <c r="AI36" s="256"/>
      <c r="AJ36" s="256"/>
      <c r="AK36" s="256"/>
      <c r="AL36" s="256"/>
      <c r="AM36" s="256"/>
      <c r="AN36" s="256"/>
      <c r="AO36" s="256"/>
      <c r="AP36" s="256"/>
      <c r="AQ36" s="256"/>
      <c r="AR36" s="256"/>
    </row>
    <row r="37" spans="1:44" s="183" customFormat="1" ht="12.75" customHeight="1" x14ac:dyDescent="0.2">
      <c r="A37" s="174"/>
      <c r="B37" s="242" t="s">
        <v>87</v>
      </c>
      <c r="C37" s="243"/>
      <c r="D37" s="244"/>
      <c r="E37" s="176">
        <v>0</v>
      </c>
      <c r="F37" s="245">
        <f>E37*24</f>
        <v>0</v>
      </c>
      <c r="G37" s="176">
        <v>0</v>
      </c>
      <c r="H37" s="180">
        <v>0</v>
      </c>
      <c r="I37" s="184">
        <f>IFERROR(FACTORS!$C$35*E37,"--")</f>
        <v>0</v>
      </c>
      <c r="J37" s="181">
        <f>IFERROR(FACTORS!$D$35*E37,"--")</f>
        <v>0</v>
      </c>
      <c r="K37" s="246">
        <f>IFERROR(FACTORS!$E$35*E37,"--")</f>
        <v>0</v>
      </c>
      <c r="L37" s="178">
        <f>IFERROR(FACTORS!$F$35*E37,"--")</f>
        <v>0</v>
      </c>
      <c r="M37" s="178">
        <f>IFERROR(FACTORS!$G$35*E37,"--")</f>
        <v>0</v>
      </c>
      <c r="N37" s="178">
        <f>IFERROR(FACTORS!$H$35*E37,"--")</f>
        <v>0</v>
      </c>
      <c r="O37" s="181" t="str">
        <f>IFERROR(FACTORS!$I$35*E37,"--")</f>
        <v>--</v>
      </c>
      <c r="P37" s="181">
        <f>IFERROR(FACTORS!$J$35*E37,"--")</f>
        <v>0</v>
      </c>
      <c r="Q37" s="191">
        <f>IFERROR(FACTORS!$K$35*E37,"--")</f>
        <v>0</v>
      </c>
      <c r="R37" s="184">
        <f t="shared" si="19"/>
        <v>0</v>
      </c>
      <c r="S37" s="181">
        <f t="shared" si="19"/>
        <v>0</v>
      </c>
      <c r="T37" s="246">
        <f t="shared" si="20"/>
        <v>0</v>
      </c>
      <c r="U37" s="246">
        <f t="shared" si="20"/>
        <v>0</v>
      </c>
      <c r="V37" s="246">
        <f t="shared" si="20"/>
        <v>0</v>
      </c>
      <c r="W37" s="246">
        <f t="shared" si="20"/>
        <v>0</v>
      </c>
      <c r="X37" s="246" t="str">
        <f t="shared" si="21"/>
        <v>--</v>
      </c>
      <c r="Y37" s="246">
        <f t="shared" si="22"/>
        <v>0</v>
      </c>
      <c r="Z37" s="182">
        <f t="shared" si="22"/>
        <v>0</v>
      </c>
      <c r="AA37" s="256"/>
      <c r="AB37" s="256"/>
      <c r="AC37" s="256"/>
      <c r="AD37" s="256"/>
      <c r="AE37" s="256"/>
      <c r="AF37" s="256"/>
      <c r="AG37" s="256"/>
      <c r="AH37" s="256"/>
      <c r="AI37" s="256"/>
      <c r="AJ37" s="256"/>
      <c r="AK37" s="256"/>
      <c r="AL37" s="256"/>
      <c r="AM37" s="256"/>
      <c r="AN37" s="256"/>
      <c r="AO37" s="256"/>
      <c r="AP37" s="256"/>
      <c r="AQ37" s="256"/>
      <c r="AR37" s="256"/>
    </row>
    <row r="38" spans="1:44" s="183" customFormat="1" ht="12.75" customHeight="1" x14ac:dyDescent="0.2">
      <c r="A38" s="174"/>
      <c r="B38" s="242" t="s">
        <v>102</v>
      </c>
      <c r="C38" s="243"/>
      <c r="D38" s="244"/>
      <c r="E38" s="176">
        <v>0</v>
      </c>
      <c r="F38" s="245">
        <f t="shared" ref="F38:F41" si="23">E38*24</f>
        <v>0</v>
      </c>
      <c r="G38" s="176">
        <v>0</v>
      </c>
      <c r="H38" s="180">
        <v>0</v>
      </c>
      <c r="I38" s="184">
        <f>IFERROR(FACTORS!$C$36*E38,"--")</f>
        <v>0</v>
      </c>
      <c r="J38" s="181">
        <f>IFERROR(FACTORS!$D$36*E38,"--")</f>
        <v>0</v>
      </c>
      <c r="K38" s="246">
        <f>IFERROR(FACTORS!$E$36*E38,"--")</f>
        <v>0</v>
      </c>
      <c r="L38" s="178">
        <f>IFERROR(FACTORS!$F$36*E38,"--")</f>
        <v>0</v>
      </c>
      <c r="M38" s="178">
        <f>IFERROR(FACTORS!$G$36*E38,"--")</f>
        <v>0</v>
      </c>
      <c r="N38" s="178">
        <f>IFERROR(FACTORS!$H$36*E38,"--")</f>
        <v>0</v>
      </c>
      <c r="O38" s="181" t="str">
        <f>IFERROR(FACTORS!$I$36*E38,"--")</f>
        <v>--</v>
      </c>
      <c r="P38" s="181">
        <f>IFERROR(FACTORS!$J$36*E38,"--")</f>
        <v>0</v>
      </c>
      <c r="Q38" s="191">
        <f>IFERROR(FACTORS!$K$36*E38,"--")</f>
        <v>0</v>
      </c>
      <c r="R38" s="184">
        <f t="shared" si="19"/>
        <v>0</v>
      </c>
      <c r="S38" s="181">
        <f t="shared" si="19"/>
        <v>0</v>
      </c>
      <c r="T38" s="246">
        <f t="shared" si="20"/>
        <v>0</v>
      </c>
      <c r="U38" s="246">
        <f t="shared" si="20"/>
        <v>0</v>
      </c>
      <c r="V38" s="246">
        <f t="shared" si="20"/>
        <v>0</v>
      </c>
      <c r="W38" s="246">
        <f t="shared" si="20"/>
        <v>0</v>
      </c>
      <c r="X38" s="246" t="str">
        <f t="shared" si="21"/>
        <v>--</v>
      </c>
      <c r="Y38" s="246">
        <f t="shared" si="22"/>
        <v>0</v>
      </c>
      <c r="Z38" s="182">
        <f t="shared" si="22"/>
        <v>0</v>
      </c>
      <c r="AA38" s="256"/>
      <c r="AB38" s="256"/>
      <c r="AC38" s="256"/>
      <c r="AD38" s="256"/>
      <c r="AE38" s="256"/>
      <c r="AF38" s="256"/>
      <c r="AG38" s="256"/>
      <c r="AH38" s="256"/>
      <c r="AI38" s="256"/>
      <c r="AJ38" s="256"/>
      <c r="AK38" s="256"/>
      <c r="AL38" s="256"/>
      <c r="AM38" s="256"/>
      <c r="AN38" s="256"/>
      <c r="AO38" s="256"/>
      <c r="AP38" s="256"/>
      <c r="AQ38" s="256"/>
      <c r="AR38" s="256"/>
    </row>
    <row r="39" spans="1:44" s="183" customFormat="1" ht="12.75" customHeight="1" x14ac:dyDescent="0.2">
      <c r="A39" s="174"/>
      <c r="B39" s="242" t="s">
        <v>154</v>
      </c>
      <c r="C39" s="243"/>
      <c r="D39" s="244"/>
      <c r="E39" s="176">
        <v>0</v>
      </c>
      <c r="F39" s="245">
        <f t="shared" si="23"/>
        <v>0</v>
      </c>
      <c r="G39" s="176">
        <v>0</v>
      </c>
      <c r="H39" s="180">
        <v>0</v>
      </c>
      <c r="I39" s="184">
        <f>IFERROR(FACTORS!$C$37*E39,"--")</f>
        <v>0</v>
      </c>
      <c r="J39" s="181">
        <f>IFERROR(FACTORS!$D$37*E39,"--")</f>
        <v>0</v>
      </c>
      <c r="K39" s="246">
        <f>IFERROR(FACTORS!$E$37*E39,"--")</f>
        <v>0</v>
      </c>
      <c r="L39" s="178">
        <f>IFERROR(FACTORS!$F$37*E39,"--")</f>
        <v>0</v>
      </c>
      <c r="M39" s="178">
        <f>IFERROR(FACTORS!$G$37*E39,"--")</f>
        <v>0</v>
      </c>
      <c r="N39" s="178">
        <f>IFERROR(FACTORS!$H$37*E39,"--")</f>
        <v>0</v>
      </c>
      <c r="O39" s="181" t="str">
        <f>IFERROR(FACTORS!$I$37*E39,"--")</f>
        <v>--</v>
      </c>
      <c r="P39" s="181">
        <f>IFERROR(FACTORS!$J$37*E39,"--")</f>
        <v>0</v>
      </c>
      <c r="Q39" s="191">
        <f>IFERROR(FACTORS!$K$37*E39,"--")</f>
        <v>0</v>
      </c>
      <c r="R39" s="184">
        <f t="shared" si="19"/>
        <v>0</v>
      </c>
      <c r="S39" s="181">
        <f t="shared" si="19"/>
        <v>0</v>
      </c>
      <c r="T39" s="246">
        <f t="shared" si="20"/>
        <v>0</v>
      </c>
      <c r="U39" s="246">
        <f t="shared" si="20"/>
        <v>0</v>
      </c>
      <c r="V39" s="246">
        <f t="shared" si="20"/>
        <v>0</v>
      </c>
      <c r="W39" s="246">
        <f t="shared" si="20"/>
        <v>0</v>
      </c>
      <c r="X39" s="246" t="str">
        <f t="shared" si="21"/>
        <v>--</v>
      </c>
      <c r="Y39" s="246">
        <f t="shared" si="22"/>
        <v>0</v>
      </c>
      <c r="Z39" s="182">
        <f t="shared" si="22"/>
        <v>0</v>
      </c>
      <c r="AA39" s="256"/>
      <c r="AB39" s="256"/>
      <c r="AC39" s="256"/>
      <c r="AD39" s="256"/>
      <c r="AE39" s="256"/>
      <c r="AF39" s="256"/>
      <c r="AG39" s="256"/>
      <c r="AH39" s="256"/>
      <c r="AI39" s="256"/>
      <c r="AJ39" s="256"/>
      <c r="AK39" s="256"/>
      <c r="AL39" s="256"/>
      <c r="AM39" s="256"/>
      <c r="AN39" s="256"/>
      <c r="AO39" s="256"/>
      <c r="AP39" s="256"/>
      <c r="AQ39" s="256"/>
      <c r="AR39" s="256"/>
    </row>
    <row r="40" spans="1:44" s="183" customFormat="1" ht="12.75" customHeight="1" x14ac:dyDescent="0.2">
      <c r="A40" s="174"/>
      <c r="B40" s="242" t="s">
        <v>89</v>
      </c>
      <c r="C40" s="243"/>
      <c r="D40" s="244"/>
      <c r="E40" s="176">
        <v>0</v>
      </c>
      <c r="F40" s="245">
        <f t="shared" si="23"/>
        <v>0</v>
      </c>
      <c r="G40" s="176">
        <v>0</v>
      </c>
      <c r="H40" s="180">
        <v>0</v>
      </c>
      <c r="I40" s="184">
        <f>IFERROR(FACTORS!$C$38*E40,"--")</f>
        <v>0</v>
      </c>
      <c r="J40" s="181">
        <f>IFERROR(FACTORS!$D$38*E40,"--")</f>
        <v>0</v>
      </c>
      <c r="K40" s="246">
        <f>IFERROR(FACTORS!$E$38*E40,"--")</f>
        <v>0</v>
      </c>
      <c r="L40" s="178">
        <f>IFERROR(FACTORS!$F$38*E40,"--")</f>
        <v>0</v>
      </c>
      <c r="M40" s="178">
        <f>IFERROR(FACTORS!$G$38*E40,"--")</f>
        <v>0</v>
      </c>
      <c r="N40" s="178">
        <f>IFERROR(FACTORS!$H$38*E40,"--")</f>
        <v>0</v>
      </c>
      <c r="O40" s="181" t="str">
        <f>IFERROR(FACTORS!$I$38*E40,"--")</f>
        <v>--</v>
      </c>
      <c r="P40" s="181">
        <f>IFERROR(FACTORS!$J$38*E40,"--")</f>
        <v>0</v>
      </c>
      <c r="Q40" s="191">
        <f>IFERROR(FACTORS!$K$38*E40,"--")</f>
        <v>0</v>
      </c>
      <c r="R40" s="184">
        <f t="shared" si="19"/>
        <v>0</v>
      </c>
      <c r="S40" s="181">
        <f t="shared" si="19"/>
        <v>0</v>
      </c>
      <c r="T40" s="246">
        <f t="shared" si="20"/>
        <v>0</v>
      </c>
      <c r="U40" s="246">
        <f t="shared" si="20"/>
        <v>0</v>
      </c>
      <c r="V40" s="246">
        <f t="shared" si="20"/>
        <v>0</v>
      </c>
      <c r="W40" s="246">
        <f t="shared" si="20"/>
        <v>0</v>
      </c>
      <c r="X40" s="246" t="str">
        <f t="shared" si="21"/>
        <v>--</v>
      </c>
      <c r="Y40" s="246">
        <f t="shared" si="22"/>
        <v>0</v>
      </c>
      <c r="Z40" s="182">
        <f t="shared" si="22"/>
        <v>0</v>
      </c>
      <c r="AA40" s="256"/>
      <c r="AB40" s="256"/>
      <c r="AC40" s="256"/>
      <c r="AD40" s="256"/>
      <c r="AE40" s="256"/>
      <c r="AF40" s="256"/>
      <c r="AG40" s="256"/>
      <c r="AH40" s="256"/>
      <c r="AI40" s="256"/>
      <c r="AJ40" s="256"/>
      <c r="AK40" s="256"/>
      <c r="AL40" s="256"/>
      <c r="AM40" s="256"/>
      <c r="AN40" s="256"/>
      <c r="AO40" s="256"/>
      <c r="AP40" s="256"/>
      <c r="AQ40" s="256"/>
      <c r="AR40" s="256"/>
    </row>
    <row r="41" spans="1:44" s="183" customFormat="1" ht="12.75" customHeight="1" x14ac:dyDescent="0.2">
      <c r="A41" s="174"/>
      <c r="B41" s="242" t="s">
        <v>103</v>
      </c>
      <c r="C41" s="243"/>
      <c r="D41" s="244"/>
      <c r="E41" s="176">
        <v>0</v>
      </c>
      <c r="F41" s="245">
        <f t="shared" si="23"/>
        <v>0</v>
      </c>
      <c r="G41" s="176">
        <v>0</v>
      </c>
      <c r="H41" s="180">
        <v>0</v>
      </c>
      <c r="I41" s="184">
        <f>IFERROR(FACTORS!$C$39*E41,"--")</f>
        <v>0</v>
      </c>
      <c r="J41" s="181">
        <f>IFERROR(FACTORS!$D$39*E41,"--")</f>
        <v>0</v>
      </c>
      <c r="K41" s="246">
        <f>IFERROR(FACTORS!$E$39*E41,"--")</f>
        <v>0</v>
      </c>
      <c r="L41" s="178">
        <f>IFERROR(FACTORS!$F$39*E41,"--")</f>
        <v>0</v>
      </c>
      <c r="M41" s="178">
        <f>IFERROR(FACTORS!$G$39*E41,"--")</f>
        <v>0</v>
      </c>
      <c r="N41" s="178">
        <f>IFERROR(FACTORS!$H$39*E41,"--")</f>
        <v>0</v>
      </c>
      <c r="O41" s="181" t="str">
        <f>IFERROR(FACTORS!$I$39*E41,"--")</f>
        <v>--</v>
      </c>
      <c r="P41" s="181">
        <f>IFERROR(FACTORS!$J$39*E41,"--")</f>
        <v>0</v>
      </c>
      <c r="Q41" s="191">
        <f>IFERROR(FACTORS!$K$39*E41,"--")</f>
        <v>0</v>
      </c>
      <c r="R41" s="184">
        <f t="shared" si="19"/>
        <v>0</v>
      </c>
      <c r="S41" s="181">
        <f t="shared" si="19"/>
        <v>0</v>
      </c>
      <c r="T41" s="246">
        <f t="shared" si="20"/>
        <v>0</v>
      </c>
      <c r="U41" s="246">
        <f t="shared" si="20"/>
        <v>0</v>
      </c>
      <c r="V41" s="246">
        <f t="shared" si="20"/>
        <v>0</v>
      </c>
      <c r="W41" s="246">
        <f t="shared" si="20"/>
        <v>0</v>
      </c>
      <c r="X41" s="246" t="str">
        <f t="shared" si="21"/>
        <v>--</v>
      </c>
      <c r="Y41" s="246">
        <f t="shared" si="22"/>
        <v>0</v>
      </c>
      <c r="Z41" s="182">
        <f t="shared" si="22"/>
        <v>0</v>
      </c>
      <c r="AA41" s="256"/>
      <c r="AB41" s="256"/>
      <c r="AC41" s="256"/>
      <c r="AD41" s="256"/>
      <c r="AE41" s="256"/>
      <c r="AF41" s="256"/>
      <c r="AG41" s="256"/>
      <c r="AH41" s="256"/>
      <c r="AI41" s="256"/>
      <c r="AJ41" s="256"/>
      <c r="AK41" s="256"/>
      <c r="AL41" s="256"/>
      <c r="AM41" s="256"/>
      <c r="AN41" s="256"/>
      <c r="AO41" s="256"/>
      <c r="AP41" s="256"/>
      <c r="AQ41" s="256"/>
      <c r="AR41" s="256"/>
    </row>
    <row r="42" spans="1:44" s="183" customFormat="1" ht="12.75" customHeight="1" x14ac:dyDescent="0.2">
      <c r="A42" s="174"/>
      <c r="B42" s="242" t="s">
        <v>91</v>
      </c>
      <c r="C42" s="243"/>
      <c r="D42" s="176">
        <v>0</v>
      </c>
      <c r="E42" s="74"/>
      <c r="F42" s="74"/>
      <c r="G42" s="179">
        <v>0</v>
      </c>
      <c r="H42" s="180">
        <v>0</v>
      </c>
      <c r="I42" s="184">
        <f>(FACTORS!$C$40*D42*2000)/24</f>
        <v>0</v>
      </c>
      <c r="J42" s="181">
        <f>(FACTORS!$D$40*D42*2000)/24</f>
        <v>0</v>
      </c>
      <c r="K42" s="246">
        <f>(FACTORS!$E$40*D42*2000)/24</f>
        <v>0</v>
      </c>
      <c r="L42" s="178">
        <f>(FACTORS!$F$40*D42*2000)/24</f>
        <v>0</v>
      </c>
      <c r="M42" s="178">
        <f>(FACTORS!$G$40*D42*2000)/24</f>
        <v>0</v>
      </c>
      <c r="N42" s="178">
        <f>(FACTORS!$H$40*D42*2000)/24</f>
        <v>0</v>
      </c>
      <c r="O42" s="181" t="str">
        <f>IFERROR((FACTORS!$I$40*D42*2000)/24,"--")</f>
        <v>--</v>
      </c>
      <c r="P42" s="181">
        <f>IFERROR((FACTORS!$J$40*D42*2000)/24,"--")</f>
        <v>0</v>
      </c>
      <c r="Q42" s="191" t="str">
        <f>IFERROR((FACTORS!$K$40*D42*2000)/24,"--")</f>
        <v>--</v>
      </c>
      <c r="R42" s="184">
        <f t="shared" si="19"/>
        <v>0</v>
      </c>
      <c r="S42" s="181">
        <f t="shared" si="19"/>
        <v>0</v>
      </c>
      <c r="T42" s="246">
        <f t="shared" si="20"/>
        <v>0</v>
      </c>
      <c r="U42" s="246">
        <f t="shared" si="20"/>
        <v>0</v>
      </c>
      <c r="V42" s="246">
        <f t="shared" si="20"/>
        <v>0</v>
      </c>
      <c r="W42" s="246">
        <f t="shared" si="20"/>
        <v>0</v>
      </c>
      <c r="X42" s="246" t="str">
        <f t="shared" si="21"/>
        <v>--</v>
      </c>
      <c r="Y42" s="246">
        <f t="shared" si="22"/>
        <v>0</v>
      </c>
      <c r="Z42" s="182" t="str">
        <f t="shared" si="22"/>
        <v/>
      </c>
      <c r="AA42" s="256"/>
      <c r="AB42" s="256"/>
      <c r="AC42" s="256"/>
      <c r="AD42" s="256"/>
      <c r="AE42" s="256"/>
      <c r="AF42" s="256"/>
      <c r="AG42" s="256"/>
      <c r="AH42" s="256"/>
      <c r="AI42" s="256"/>
      <c r="AJ42" s="256"/>
      <c r="AK42" s="256"/>
      <c r="AL42" s="256"/>
      <c r="AM42" s="256"/>
      <c r="AN42" s="256"/>
      <c r="AO42" s="256"/>
      <c r="AP42" s="256"/>
      <c r="AQ42" s="256"/>
      <c r="AR42" s="256"/>
    </row>
    <row r="43" spans="1:44" s="183" customFormat="1" ht="12.75" customHeight="1" x14ac:dyDescent="0.2">
      <c r="A43" s="174"/>
      <c r="B43" s="274" t="s">
        <v>133</v>
      </c>
      <c r="C43" s="242"/>
      <c r="D43" s="185">
        <v>0</v>
      </c>
      <c r="E43" s="74"/>
      <c r="F43" s="74"/>
      <c r="G43" s="185">
        <v>0</v>
      </c>
      <c r="H43" s="186">
        <v>0</v>
      </c>
      <c r="I43" s="187">
        <f>FACTORS!$C$42*D43/453.592</f>
        <v>0</v>
      </c>
      <c r="J43" s="192">
        <f>FACTORS!$D$42*D43/453.592</f>
        <v>0</v>
      </c>
      <c r="K43" s="189">
        <f>FACTORS!$E$42*D43/453.592</f>
        <v>0</v>
      </c>
      <c r="L43" s="192">
        <f>FACTORS!$F$42*D43/453.592</f>
        <v>0</v>
      </c>
      <c r="M43" s="192">
        <f>FACTORS!$G$42*D43/453.592</f>
        <v>0</v>
      </c>
      <c r="N43" s="188">
        <f>FACTORS!$H$42*D43/453.592</f>
        <v>0</v>
      </c>
      <c r="O43" s="192">
        <f>IFERROR(FACTORS!$I$42*D43/453.592, "--")</f>
        <v>0</v>
      </c>
      <c r="P43" s="192">
        <f>FACTORS!$J$42*D43/453.592</f>
        <v>0</v>
      </c>
      <c r="Q43" s="193">
        <f>FACTORS!$K$42*D43/453.592</f>
        <v>0</v>
      </c>
      <c r="R43" s="187">
        <f>IFERROR((I43*$G43*$H43)/2000, "")</f>
        <v>0</v>
      </c>
      <c r="S43" s="192">
        <f>IFERROR((J43*$G43*$H43)/2000, "")</f>
        <v>0</v>
      </c>
      <c r="T43" s="189">
        <f>IFERROR((K43*$G43*$H43)/2000, "")</f>
        <v>0</v>
      </c>
      <c r="U43" s="189">
        <f t="shared" si="20"/>
        <v>0</v>
      </c>
      <c r="V43" s="189">
        <f t="shared" si="20"/>
        <v>0</v>
      </c>
      <c r="W43" s="189">
        <f t="shared" si="20"/>
        <v>0</v>
      </c>
      <c r="X43" s="189">
        <f t="shared" si="21"/>
        <v>0</v>
      </c>
      <c r="Y43" s="189">
        <f t="shared" si="22"/>
        <v>0</v>
      </c>
      <c r="Z43" s="190">
        <f t="shared" si="22"/>
        <v>0</v>
      </c>
      <c r="AA43" s="256"/>
      <c r="AB43" s="256"/>
      <c r="AC43" s="256"/>
      <c r="AD43" s="256"/>
      <c r="AE43" s="256"/>
      <c r="AF43" s="256"/>
      <c r="AG43" s="256"/>
      <c r="AH43" s="256"/>
      <c r="AI43" s="256"/>
      <c r="AJ43" s="256"/>
      <c r="AK43" s="256"/>
      <c r="AL43" s="256"/>
      <c r="AM43" s="256"/>
      <c r="AN43" s="256"/>
      <c r="AO43" s="256"/>
      <c r="AP43" s="256"/>
      <c r="AQ43" s="256"/>
      <c r="AR43" s="256"/>
    </row>
    <row r="44" spans="1:44" s="247" customFormat="1" ht="12.75" customHeight="1" x14ac:dyDescent="0.2">
      <c r="A44" s="286">
        <f>A23</f>
        <v>2025</v>
      </c>
      <c r="B44" s="287" t="s">
        <v>124</v>
      </c>
      <c r="C44" s="431"/>
      <c r="D44" s="281"/>
      <c r="E44" s="281"/>
      <c r="F44" s="282"/>
      <c r="G44" s="281"/>
      <c r="H44" s="283"/>
      <c r="I44" s="380">
        <f t="shared" ref="I44:Z44" si="24">SUM(I26:I43)</f>
        <v>0</v>
      </c>
      <c r="J44" s="428">
        <f t="shared" si="24"/>
        <v>0</v>
      </c>
      <c r="K44" s="429">
        <f t="shared" si="24"/>
        <v>0</v>
      </c>
      <c r="L44" s="284">
        <f t="shared" si="24"/>
        <v>0</v>
      </c>
      <c r="M44" s="284">
        <f t="shared" si="24"/>
        <v>0</v>
      </c>
      <c r="N44" s="284">
        <f t="shared" si="24"/>
        <v>0</v>
      </c>
      <c r="O44" s="284">
        <f t="shared" si="24"/>
        <v>0</v>
      </c>
      <c r="P44" s="284">
        <f t="shared" si="24"/>
        <v>0</v>
      </c>
      <c r="Q44" s="290">
        <f t="shared" si="24"/>
        <v>0</v>
      </c>
      <c r="R44" s="383">
        <f t="shared" si="24"/>
        <v>0</v>
      </c>
      <c r="S44" s="291">
        <f t="shared" si="24"/>
        <v>0</v>
      </c>
      <c r="T44" s="430">
        <f t="shared" si="24"/>
        <v>0</v>
      </c>
      <c r="U44" s="291">
        <f t="shared" si="24"/>
        <v>0</v>
      </c>
      <c r="V44" s="291">
        <f t="shared" si="24"/>
        <v>0</v>
      </c>
      <c r="W44" s="291">
        <f t="shared" si="24"/>
        <v>0</v>
      </c>
      <c r="X44" s="291">
        <f t="shared" si="24"/>
        <v>0</v>
      </c>
      <c r="Y44" s="291">
        <f t="shared" si="24"/>
        <v>0</v>
      </c>
      <c r="Z44" s="292">
        <f t="shared" si="24"/>
        <v>0</v>
      </c>
      <c r="AA44" s="256"/>
      <c r="AB44" s="256"/>
      <c r="AC44" s="256"/>
      <c r="AD44" s="256"/>
      <c r="AE44" s="256"/>
      <c r="AF44" s="256"/>
      <c r="AG44" s="256"/>
      <c r="AH44" s="256"/>
      <c r="AI44" s="256"/>
      <c r="AJ44" s="256"/>
      <c r="AK44" s="256"/>
      <c r="AL44" s="256"/>
      <c r="AM44" s="256"/>
      <c r="AN44" s="256"/>
      <c r="AO44" s="256"/>
      <c r="AP44" s="256"/>
      <c r="AQ44" s="256"/>
      <c r="AR44" s="256"/>
    </row>
    <row r="45" spans="1:44" ht="12.75" customHeight="1" x14ac:dyDescent="0.2">
      <c r="A45" s="77"/>
      <c r="B45" s="13"/>
      <c r="C45" s="13"/>
    </row>
    <row r="46" spans="1:44" ht="12.75" customHeight="1" x14ac:dyDescent="0.2">
      <c r="A46" s="77"/>
      <c r="B46" s="13"/>
      <c r="C46" s="13"/>
    </row>
    <row r="47" spans="1:44" ht="12.75" customHeight="1" x14ac:dyDescent="0.2">
      <c r="A47" s="77"/>
      <c r="B47" s="13"/>
      <c r="C47" s="13"/>
    </row>
    <row r="48" spans="1:44" ht="12.75" customHeight="1" x14ac:dyDescent="0.2">
      <c r="A48" s="2"/>
      <c r="B48" s="2"/>
      <c r="C48" s="2"/>
      <c r="D48" s="2"/>
      <c r="E48" s="2"/>
      <c r="F48" s="2"/>
      <c r="G48" s="2"/>
      <c r="H48" s="2"/>
      <c r="I48" s="2"/>
      <c r="J48" s="2"/>
      <c r="K48" s="2"/>
      <c r="L48" s="2"/>
      <c r="M48" s="2"/>
      <c r="N48" s="2"/>
      <c r="O48" s="2"/>
      <c r="P48" s="2"/>
      <c r="Q48" s="2"/>
      <c r="R48" s="2"/>
      <c r="S48" s="2"/>
      <c r="T48" s="2"/>
      <c r="U48" s="2"/>
      <c r="V48" s="2"/>
      <c r="W48" s="2"/>
      <c r="X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0"/>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16"/>
      <c r="Z52" s="20"/>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16"/>
      <c r="Z53" s="20"/>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16"/>
      <c r="Z54" s="19"/>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17"/>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13"/>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13"/>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13"/>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13"/>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13"/>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13"/>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13"/>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13"/>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13"/>
    </row>
    <row r="65" spans="1:25"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13"/>
    </row>
    <row r="66" spans="1:25"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13"/>
    </row>
    <row r="67" spans="1:25"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13"/>
    </row>
    <row r="68" spans="1:25"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13"/>
    </row>
    <row r="69" spans="1:25"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13"/>
    </row>
    <row r="70" spans="1:25"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13"/>
    </row>
    <row r="71" spans="1:25"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13"/>
    </row>
    <row r="72" spans="1:25"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18"/>
    </row>
    <row r="73" spans="1:25"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18"/>
    </row>
    <row r="74" spans="1:25"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18"/>
    </row>
    <row r="75" spans="1:25"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18"/>
    </row>
    <row r="76" spans="1:25"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13"/>
    </row>
    <row r="77" spans="1:25"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13"/>
    </row>
    <row r="78" spans="1:25"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13"/>
    </row>
    <row r="79" spans="1:25"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13"/>
    </row>
    <row r="80" spans="1:25"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13"/>
    </row>
    <row r="81" spans="1:25"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3"/>
    </row>
    <row r="82" spans="1:25"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row>
    <row r="83" spans="1:25"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row>
    <row r="84" spans="1:25"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row>
    <row r="85" spans="1:25"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row>
    <row r="86" spans="1:25"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row>
    <row r="87" spans="1:25"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row>
    <row r="88" spans="1:25"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row>
    <row r="89" spans="1:25"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row>
    <row r="90" spans="1:25"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row>
    <row r="91" spans="1:25"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row>
    <row r="92" spans="1:25"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row>
    <row r="93" spans="1:25"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row>
    <row r="94" spans="1:25"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row>
    <row r="95" spans="1:25"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row>
    <row r="96" spans="1:25"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18"/>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13"/>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13"/>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13"/>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13"/>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13"/>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13"/>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13"/>
    </row>
    <row r="128" spans="1:25" ht="12.75" customHeight="1" x14ac:dyDescent="0.2">
      <c r="Y128" s="13"/>
    </row>
    <row r="129" spans="25:26" ht="12.75" customHeight="1" x14ac:dyDescent="0.2">
      <c r="Y129" s="18"/>
      <c r="Z129" s="19"/>
    </row>
    <row r="130" spans="25:26" ht="12.75" customHeight="1" x14ac:dyDescent="0.2">
      <c r="Y130" s="21"/>
    </row>
    <row r="131" spans="25:26" ht="12.75" customHeight="1" x14ac:dyDescent="0.2">
      <c r="Y131" s="18"/>
    </row>
    <row r="132" spans="25:26" ht="12.75" customHeight="1" x14ac:dyDescent="0.2">
      <c r="Y132" s="13"/>
      <c r="Z132" s="19"/>
    </row>
    <row r="133" spans="25:26" ht="12.75" customHeight="1" x14ac:dyDescent="0.2">
      <c r="Y133" s="22"/>
    </row>
    <row r="141" spans="25:26" ht="12.75" customHeight="1" x14ac:dyDescent="0.2">
      <c r="Z141" s="20"/>
    </row>
    <row r="142" spans="25:26" ht="12.75" customHeight="1" x14ac:dyDescent="0.2">
      <c r="Y142" s="16"/>
      <c r="Z142" s="20"/>
    </row>
    <row r="143" spans="25:26" ht="12.75" customHeight="1" x14ac:dyDescent="0.2">
      <c r="Y143" s="16"/>
      <c r="Z143" s="20"/>
    </row>
    <row r="144" spans="25:26" ht="12.75" customHeight="1" x14ac:dyDescent="0.2">
      <c r="Y144" s="16"/>
      <c r="Z144" s="19"/>
    </row>
    <row r="145" spans="25:25" ht="12.75" customHeight="1" x14ac:dyDescent="0.2">
      <c r="Y145" s="17"/>
    </row>
    <row r="146" spans="25:25" ht="12.75" customHeight="1" x14ac:dyDescent="0.2">
      <c r="Y146" s="13"/>
    </row>
    <row r="147" spans="25:25" ht="12.75" customHeight="1" x14ac:dyDescent="0.2">
      <c r="Y147" s="13"/>
    </row>
    <row r="148" spans="25:25" ht="12.75" customHeight="1" x14ac:dyDescent="0.2">
      <c r="Y148" s="13"/>
    </row>
    <row r="149" spans="25:25" ht="12.75" customHeight="1" x14ac:dyDescent="0.2">
      <c r="Y149" s="13"/>
    </row>
    <row r="150" spans="25:25" ht="12.75" customHeight="1" x14ac:dyDescent="0.2">
      <c r="Y150" s="13"/>
    </row>
    <row r="151" spans="25:25" ht="12.75" customHeight="1" x14ac:dyDescent="0.2">
      <c r="Y151" s="13"/>
    </row>
    <row r="152" spans="25:25" ht="12.75" customHeight="1" x14ac:dyDescent="0.2">
      <c r="Y152" s="13"/>
    </row>
    <row r="153" spans="25:25" ht="12.75" customHeight="1" x14ac:dyDescent="0.2">
      <c r="Y153" s="13"/>
    </row>
    <row r="154" spans="25:25" ht="12.75" customHeight="1" x14ac:dyDescent="0.2">
      <c r="Y154" s="13"/>
    </row>
    <row r="155" spans="25:25" ht="12.75" customHeight="1" x14ac:dyDescent="0.2">
      <c r="Y155" s="13"/>
    </row>
    <row r="156" spans="25:25" ht="12.75" customHeight="1" x14ac:dyDescent="0.2">
      <c r="Y156" s="13"/>
    </row>
    <row r="157" spans="25:25" ht="12.75" customHeight="1" x14ac:dyDescent="0.2">
      <c r="Y157" s="13"/>
    </row>
    <row r="158" spans="25:25" ht="12.75" customHeight="1" x14ac:dyDescent="0.2">
      <c r="Y158" s="13"/>
    </row>
    <row r="159" spans="25:25" ht="12.75" customHeight="1" x14ac:dyDescent="0.2">
      <c r="Y159" s="13"/>
    </row>
    <row r="160" spans="25:25" ht="12.75" customHeight="1" x14ac:dyDescent="0.2">
      <c r="Y160" s="13"/>
    </row>
    <row r="161" spans="25:26" ht="12.75" customHeight="1" x14ac:dyDescent="0.2">
      <c r="Y161" s="13"/>
    </row>
    <row r="162" spans="25:26" ht="12.75" customHeight="1" x14ac:dyDescent="0.2">
      <c r="Y162" s="18"/>
    </row>
    <row r="163" spans="25:26" ht="12.75" customHeight="1" x14ac:dyDescent="0.2">
      <c r="Y163" s="18"/>
    </row>
    <row r="164" spans="25:26" ht="12.75" customHeight="1" x14ac:dyDescent="0.2">
      <c r="Y164" s="18"/>
    </row>
    <row r="165" spans="25:26" ht="12.75" customHeight="1" x14ac:dyDescent="0.2">
      <c r="Y165" s="18"/>
    </row>
    <row r="166" spans="25:26" ht="12.75" customHeight="1" x14ac:dyDescent="0.2">
      <c r="Y166" s="13"/>
    </row>
    <row r="167" spans="25:26" ht="12.75" customHeight="1" x14ac:dyDescent="0.2">
      <c r="Y167" s="13"/>
    </row>
    <row r="168" spans="25:26" ht="12.75" customHeight="1" x14ac:dyDescent="0.2">
      <c r="Y168" s="13"/>
    </row>
    <row r="169" spans="25:26" ht="12.75" customHeight="1" x14ac:dyDescent="0.2">
      <c r="Y169" s="13"/>
    </row>
    <row r="170" spans="25:26" ht="12.75" customHeight="1" x14ac:dyDescent="0.2">
      <c r="Y170" s="13"/>
    </row>
    <row r="171" spans="25:26" ht="12.75" customHeight="1" x14ac:dyDescent="0.2">
      <c r="Y171" s="13"/>
    </row>
    <row r="172" spans="25:26" ht="12.75" customHeight="1" x14ac:dyDescent="0.2">
      <c r="Y172" s="13"/>
    </row>
    <row r="173" spans="25:26" ht="12.75" customHeight="1" x14ac:dyDescent="0.2">
      <c r="Y173" s="13"/>
    </row>
    <row r="174" spans="25:26" ht="12.75" customHeight="1" x14ac:dyDescent="0.2">
      <c r="Y174" s="18"/>
      <c r="Z174" s="19"/>
    </row>
    <row r="175" spans="25:26" ht="12.75" customHeight="1" x14ac:dyDescent="0.2">
      <c r="Y175" s="21"/>
    </row>
    <row r="176" spans="25:26" ht="12.75" customHeight="1" x14ac:dyDescent="0.2">
      <c r="Y176" s="18"/>
    </row>
    <row r="177" spans="25:26" ht="12.75" customHeight="1" x14ac:dyDescent="0.2">
      <c r="Y177" s="13"/>
      <c r="Z177" s="19"/>
    </row>
    <row r="178" spans="25:26" ht="12.75" customHeight="1" x14ac:dyDescent="0.2">
      <c r="Y178"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- 6TH YEAR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B4BA2-5892-43BF-98D6-C7C41FB16484}">
  <sheetPr codeName="Sheet9">
    <pageSetUpPr fitToPage="1"/>
  </sheetPr>
  <dimension ref="A1:AR178"/>
  <sheetViews>
    <sheetView view="pageLayout" topLeftCell="A2" zoomScale="70" zoomScaleNormal="100" zoomScalePageLayoutView="70" workbookViewId="0">
      <selection activeCell="D15" sqref="D15"/>
    </sheetView>
  </sheetViews>
  <sheetFormatPr defaultColWidth="9.7109375" defaultRowHeight="12.75" customHeight="1" x14ac:dyDescent="0.2"/>
  <cols>
    <col min="1" max="1" width="22.140625" style="6" customWidth="1"/>
    <col min="2" max="2" width="47.140625" style="6" customWidth="1"/>
    <col min="3" max="3" width="14.42578125" style="6" bestFit="1" customWidth="1"/>
    <col min="4" max="4" width="17.7109375" style="7" customWidth="1"/>
    <col min="5" max="5" width="10.7109375" style="7" customWidth="1"/>
    <col min="6" max="6" width="10.7109375" style="8" customWidth="1"/>
    <col min="7" max="8" width="9.140625" style="7" customWidth="1"/>
    <col min="9" max="11" width="14.140625" style="13" customWidth="1"/>
    <col min="12" max="12" width="9.140625" style="13" bestFit="1" customWidth="1"/>
    <col min="13" max="13" width="13.42578125" style="13" customWidth="1"/>
    <col min="14" max="14" width="10.7109375" style="13" customWidth="1"/>
    <col min="15" max="15" width="12.140625" style="13" customWidth="1"/>
    <col min="16" max="16" width="10.7109375" style="13" customWidth="1"/>
    <col min="17" max="24" width="10.7109375" style="14" customWidth="1"/>
    <col min="25" max="25" width="12.28515625" style="14" customWidth="1"/>
    <col min="26" max="26" width="9.7109375" style="2"/>
    <col min="27" max="44" width="9.7109375" style="256"/>
    <col min="45" max="16384" width="9.7109375" style="2"/>
  </cols>
  <sheetData>
    <row r="1" spans="1:44" ht="12.75" customHeight="1" thickBot="1" x14ac:dyDescent="0.25">
      <c r="A1" s="23" t="s">
        <v>1</v>
      </c>
      <c r="B1" s="23" t="s">
        <v>2</v>
      </c>
      <c r="C1" s="23"/>
      <c r="D1" s="23" t="s">
        <v>3</v>
      </c>
      <c r="E1" s="23" t="s">
        <v>5</v>
      </c>
      <c r="F1" s="24" t="s">
        <v>63</v>
      </c>
      <c r="G1" s="23" t="s">
        <v>7</v>
      </c>
      <c r="H1" s="25"/>
      <c r="I1" s="26"/>
      <c r="J1" s="26"/>
      <c r="K1" s="26"/>
      <c r="L1" s="27" t="s">
        <v>81</v>
      </c>
      <c r="M1" s="28" t="s">
        <v>0</v>
      </c>
      <c r="N1" s="26" t="s">
        <v>42</v>
      </c>
      <c r="O1" s="29"/>
      <c r="P1" s="29" t="s">
        <v>11</v>
      </c>
      <c r="Q1" s="29"/>
      <c r="R1" s="30"/>
      <c r="S1" s="30"/>
      <c r="T1" s="30"/>
      <c r="U1" s="30"/>
      <c r="V1" s="30"/>
      <c r="W1" s="30"/>
      <c r="X1" s="30"/>
      <c r="Y1" s="30"/>
      <c r="Z1" s="101"/>
    </row>
    <row r="2" spans="1:44" ht="12.75" customHeight="1" thickBot="1" x14ac:dyDescent="0.25">
      <c r="A2" s="31">
        <f>TITLE!$C$1</f>
        <v>0</v>
      </c>
      <c r="B2" s="31">
        <f>TITLE!$C$2</f>
        <v>0</v>
      </c>
      <c r="C2" s="31"/>
      <c r="D2" s="32" t="str">
        <f>TITLE!$C$3</f>
        <v xml:space="preserve">   </v>
      </c>
      <c r="E2" s="31" t="str">
        <f>TITLE!$C$4</f>
        <v xml:space="preserve">  </v>
      </c>
      <c r="F2" s="32" t="str">
        <f>TITLE!$C$5</f>
        <v xml:space="preserve"> </v>
      </c>
      <c r="G2" s="31" t="str">
        <f>TITLE!$C$6</f>
        <v xml:space="preserve">    </v>
      </c>
      <c r="H2" s="31"/>
      <c r="I2" s="31"/>
      <c r="J2" s="373"/>
      <c r="K2" s="373"/>
      <c r="L2" s="473" t="str">
        <f>TITLE!$C$7</f>
        <v xml:space="preserve">  </v>
      </c>
      <c r="M2" s="476"/>
      <c r="N2" s="473" t="str">
        <f>TITLE!$C$8</f>
        <v xml:space="preserve"> </v>
      </c>
      <c r="O2" s="476"/>
      <c r="P2" s="473" t="str">
        <f>TITLE!C9</f>
        <v xml:space="preserve"> </v>
      </c>
      <c r="Q2" s="474"/>
      <c r="R2" s="474"/>
      <c r="S2" s="474"/>
      <c r="T2" s="474"/>
      <c r="U2" s="474"/>
      <c r="V2" s="474"/>
      <c r="W2" s="474"/>
      <c r="X2" s="474"/>
      <c r="Y2" s="474"/>
      <c r="Z2" s="475"/>
    </row>
    <row r="3" spans="1:44" ht="12.75" customHeight="1" thickTop="1" x14ac:dyDescent="0.2">
      <c r="A3" s="33" t="s">
        <v>43</v>
      </c>
      <c r="B3" s="34" t="s">
        <v>44</v>
      </c>
      <c r="C3" s="34" t="s">
        <v>101</v>
      </c>
      <c r="D3" s="34" t="s">
        <v>45</v>
      </c>
      <c r="E3" s="34" t="s">
        <v>46</v>
      </c>
      <c r="F3" s="35" t="s">
        <v>47</v>
      </c>
      <c r="G3" s="36" t="s">
        <v>48</v>
      </c>
      <c r="H3" s="37"/>
      <c r="I3" s="38"/>
      <c r="J3" s="38"/>
      <c r="K3" s="38"/>
      <c r="L3" s="38"/>
      <c r="M3" s="38" t="s">
        <v>49</v>
      </c>
      <c r="N3" s="38"/>
      <c r="O3" s="38"/>
      <c r="P3" s="38"/>
      <c r="Q3" s="39"/>
      <c r="R3" s="40"/>
      <c r="S3" s="40"/>
      <c r="T3" s="40"/>
      <c r="U3" s="40"/>
      <c r="V3" s="38" t="s">
        <v>50</v>
      </c>
      <c r="W3" s="40"/>
      <c r="X3" s="40"/>
      <c r="Y3" s="40"/>
      <c r="Z3" s="100"/>
    </row>
    <row r="4" spans="1:44" ht="12.75" customHeight="1" x14ac:dyDescent="0.2">
      <c r="A4" s="41"/>
      <c r="B4" s="42" t="s">
        <v>51</v>
      </c>
      <c r="C4" s="42"/>
      <c r="D4" s="42" t="s">
        <v>52</v>
      </c>
      <c r="E4" s="42" t="s">
        <v>53</v>
      </c>
      <c r="F4" s="43" t="s">
        <v>54</v>
      </c>
      <c r="G4" s="44"/>
      <c r="H4" s="45"/>
      <c r="I4" s="46"/>
      <c r="J4" s="46"/>
      <c r="K4" s="46"/>
      <c r="L4" s="46"/>
      <c r="M4" s="46"/>
      <c r="N4" s="46"/>
      <c r="O4" s="46"/>
      <c r="P4" s="46"/>
      <c r="Q4" s="47"/>
      <c r="R4" s="48"/>
      <c r="S4" s="48"/>
      <c r="T4" s="48"/>
      <c r="U4" s="48"/>
      <c r="V4" s="46"/>
      <c r="W4" s="48"/>
      <c r="X4" s="48"/>
      <c r="Y4" s="48"/>
      <c r="Z4" s="57"/>
    </row>
    <row r="5" spans="1:44" ht="12.75" customHeight="1" x14ac:dyDescent="0.2">
      <c r="A5" s="49"/>
      <c r="B5" s="277" t="s">
        <v>55</v>
      </c>
      <c r="C5" s="277"/>
      <c r="D5" s="50" t="s">
        <v>52</v>
      </c>
      <c r="E5" s="50" t="s">
        <v>56</v>
      </c>
      <c r="F5" s="51" t="s">
        <v>57</v>
      </c>
      <c r="G5" s="52"/>
      <c r="H5" s="53"/>
      <c r="I5" s="54"/>
      <c r="J5" s="54"/>
      <c r="K5" s="54"/>
      <c r="L5" s="54"/>
      <c r="M5" s="54"/>
      <c r="N5" s="54"/>
      <c r="O5" s="46"/>
      <c r="P5" s="54"/>
      <c r="Q5" s="55"/>
      <c r="R5" s="56"/>
      <c r="S5" s="56"/>
      <c r="T5" s="56"/>
      <c r="U5" s="56"/>
      <c r="V5" s="54"/>
      <c r="W5" s="56"/>
      <c r="X5" s="56"/>
      <c r="Y5" s="56"/>
      <c r="Z5" s="57"/>
    </row>
    <row r="6" spans="1:44" ht="12.75" customHeight="1" thickBot="1" x14ac:dyDescent="0.25">
      <c r="A6" s="41"/>
      <c r="B6" s="278" t="s">
        <v>58</v>
      </c>
      <c r="C6" s="278"/>
      <c r="D6" s="168" t="s">
        <v>59</v>
      </c>
      <c r="E6" s="42" t="s">
        <v>56</v>
      </c>
      <c r="F6" s="43" t="s">
        <v>57</v>
      </c>
      <c r="G6" s="169" t="s">
        <v>60</v>
      </c>
      <c r="H6" s="170" t="s">
        <v>71</v>
      </c>
      <c r="I6" s="396" t="s">
        <v>199</v>
      </c>
      <c r="J6" s="397" t="s">
        <v>197</v>
      </c>
      <c r="K6" s="398" t="s">
        <v>198</v>
      </c>
      <c r="L6" s="399" t="s">
        <v>23</v>
      </c>
      <c r="M6" s="399" t="s">
        <v>24</v>
      </c>
      <c r="N6" s="399" t="s">
        <v>25</v>
      </c>
      <c r="O6" s="397" t="s">
        <v>72</v>
      </c>
      <c r="P6" s="397" t="s">
        <v>26</v>
      </c>
      <c r="Q6" s="400" t="s">
        <v>80</v>
      </c>
      <c r="R6" s="401" t="s">
        <v>199</v>
      </c>
      <c r="S6" s="402" t="s">
        <v>197</v>
      </c>
      <c r="T6" s="403" t="s">
        <v>198</v>
      </c>
      <c r="U6" s="403" t="s">
        <v>23</v>
      </c>
      <c r="V6" s="171" t="s">
        <v>24</v>
      </c>
      <c r="W6" s="171" t="s">
        <v>25</v>
      </c>
      <c r="X6" s="46" t="s">
        <v>72</v>
      </c>
      <c r="Y6" s="46" t="s">
        <v>26</v>
      </c>
      <c r="Z6" s="172" t="s">
        <v>80</v>
      </c>
    </row>
    <row r="7" spans="1:44" s="173" customFormat="1" ht="12.75" customHeight="1" thickTop="1" x14ac:dyDescent="0.2">
      <c r="A7" s="194" t="s">
        <v>61</v>
      </c>
      <c r="B7" s="279" t="s">
        <v>165</v>
      </c>
      <c r="C7" s="293"/>
      <c r="D7" s="195">
        <v>0</v>
      </c>
      <c r="E7" s="196">
        <f>FACTORS!$I$2*D7</f>
        <v>0</v>
      </c>
      <c r="F7" s="197">
        <f>E7*24</f>
        <v>0</v>
      </c>
      <c r="G7" s="198">
        <v>0</v>
      </c>
      <c r="H7" s="199">
        <v>0</v>
      </c>
      <c r="I7" s="377">
        <f>FACTORS!$C$17*D7/453.592</f>
        <v>0</v>
      </c>
      <c r="J7" s="404">
        <f>FACTORS!$D$17*D7/453.592</f>
        <v>0</v>
      </c>
      <c r="K7" s="405">
        <f>FACTORS!$E$17*D7/453.592</f>
        <v>0</v>
      </c>
      <c r="L7" s="202">
        <f>FACTORS!$F$17*D7/453.592</f>
        <v>0</v>
      </c>
      <c r="M7" s="202">
        <f>FACTORS!$G$17*D7/453.592</f>
        <v>0</v>
      </c>
      <c r="N7" s="201">
        <f>FACTORS!$H$17*D7/453.592</f>
        <v>0</v>
      </c>
      <c r="O7" s="203">
        <f>FACTORS!$I$17*D7/453.592</f>
        <v>0</v>
      </c>
      <c r="P7" s="203">
        <f>FACTORS!$J$17*D7/453.592</f>
        <v>0</v>
      </c>
      <c r="Q7" s="204">
        <f>IFERROR(FACTORS!$K$17*D7/453.592,"--")</f>
        <v>0</v>
      </c>
      <c r="R7" s="381">
        <f>IF(I7=0,0,I7*($F7/($E7*24))*$G7*$H7/2000)</f>
        <v>0</v>
      </c>
      <c r="S7" s="203">
        <f t="shared" ref="S7:T10" si="0">IF(J7=0,0,J7*($F7/($E7*24))*$G7*$H7/2000)</f>
        <v>0</v>
      </c>
      <c r="T7" s="203">
        <f>IF(K7=0,0,K7*($F7/($E7*24))*$G7*$H7/2000)</f>
        <v>0</v>
      </c>
      <c r="U7" s="203">
        <f t="shared" ref="U7:W10" si="1">IF(L7=0,0,L7*($F7/($E7*24))*$G7*$H7/2000)</f>
        <v>0</v>
      </c>
      <c r="V7" s="203">
        <f t="shared" si="1"/>
        <v>0</v>
      </c>
      <c r="W7" s="203">
        <f t="shared" si="1"/>
        <v>0</v>
      </c>
      <c r="X7" s="203">
        <f>IFERROR(IF(O7=0,0,O7*($F7/($E7*24))*$G7*$H7/2000),"--")</f>
        <v>0</v>
      </c>
      <c r="Y7" s="203">
        <f>IF(P7=0,0,P7*($F7/($E7*24))*$G7*$H7/2000)</f>
        <v>0</v>
      </c>
      <c r="Z7" s="205">
        <f>IFERROR(IF(Q7=0,0,Q7*($F7/($E7*24))*$G7*$H7/2000),"--")</f>
        <v>0</v>
      </c>
      <c r="AA7" s="262"/>
      <c r="AB7" s="262"/>
      <c r="AC7" s="262"/>
      <c r="AD7" s="262"/>
      <c r="AE7" s="262"/>
      <c r="AF7" s="262"/>
      <c r="AG7" s="262"/>
      <c r="AH7" s="262"/>
      <c r="AI7" s="262"/>
      <c r="AJ7" s="262"/>
      <c r="AK7" s="262"/>
      <c r="AL7" s="262"/>
      <c r="AM7" s="262"/>
      <c r="AN7" s="262"/>
      <c r="AO7" s="262"/>
      <c r="AP7" s="262"/>
      <c r="AQ7" s="262"/>
      <c r="AR7" s="262"/>
    </row>
    <row r="8" spans="1:44" s="183" customFormat="1" ht="12.75" customHeight="1" x14ac:dyDescent="0.2">
      <c r="A8" s="206"/>
      <c r="B8" s="238" t="s">
        <v>165</v>
      </c>
      <c r="C8" s="294"/>
      <c r="D8" s="208">
        <v>0</v>
      </c>
      <c r="E8" s="209">
        <f>FACTORS!$I$2*D8</f>
        <v>0</v>
      </c>
      <c r="F8" s="201">
        <f>E8*24</f>
        <v>0</v>
      </c>
      <c r="G8" s="210">
        <v>0</v>
      </c>
      <c r="H8" s="211">
        <v>0</v>
      </c>
      <c r="I8" s="222">
        <f>FACTORS!$C$17*D8/453.592</f>
        <v>0</v>
      </c>
      <c r="J8" s="404">
        <f>FACTORS!$D$17*D8/453.592</f>
        <v>0</v>
      </c>
      <c r="K8" s="405">
        <f>FACTORS!$E$17*D8/453.592</f>
        <v>0</v>
      </c>
      <c r="L8" s="202">
        <f>FACTORS!$F$17*D8/453.592</f>
        <v>0</v>
      </c>
      <c r="M8" s="202">
        <f>FACTORS!$G$17*D8/453.592</f>
        <v>0</v>
      </c>
      <c r="N8" s="201">
        <f>FACTORS!$H$17*D8/453.592</f>
        <v>0</v>
      </c>
      <c r="O8" s="202">
        <f>FACTORS!$I$17*D8/453.592</f>
        <v>0</v>
      </c>
      <c r="P8" s="202">
        <f>FACTORS!$J$17*D8/453.592</f>
        <v>0</v>
      </c>
      <c r="Q8" s="204">
        <f>IFERROR(FACTORS!$K$17*D8/453.592,"--")</f>
        <v>0</v>
      </c>
      <c r="R8" s="200">
        <f>IF(I8=0,0,I8*($F8/($E8*24))*$G8*$H8/2000)</f>
        <v>0</v>
      </c>
      <c r="S8" s="202">
        <f t="shared" si="0"/>
        <v>0</v>
      </c>
      <c r="T8" s="202">
        <f t="shared" si="0"/>
        <v>0</v>
      </c>
      <c r="U8" s="202">
        <f t="shared" si="1"/>
        <v>0</v>
      </c>
      <c r="V8" s="202">
        <f t="shared" si="1"/>
        <v>0</v>
      </c>
      <c r="W8" s="202">
        <f t="shared" si="1"/>
        <v>0</v>
      </c>
      <c r="X8" s="202">
        <f>IFERROR(IF(O8=0,0,O8*($F8/($E8*24))*$G8*$H8/2000),"--")</f>
        <v>0</v>
      </c>
      <c r="Y8" s="202">
        <f>IF(P8=0,0,P8*($F8/($E8*24))*$G8*$H8/2000)</f>
        <v>0</v>
      </c>
      <c r="Z8" s="213">
        <f>IFERROR(IF(Q8=0,0,Q8*($F8/($E8*24))*$G8*$H8/2000),"--")</f>
        <v>0</v>
      </c>
      <c r="AA8" s="256"/>
      <c r="AB8" s="256"/>
      <c r="AC8" s="256"/>
      <c r="AD8" s="256"/>
      <c r="AE8" s="256"/>
      <c r="AF8" s="256"/>
      <c r="AG8" s="256"/>
      <c r="AH8" s="256"/>
      <c r="AI8" s="256"/>
      <c r="AJ8" s="256"/>
      <c r="AK8" s="256"/>
      <c r="AL8" s="256"/>
      <c r="AM8" s="256"/>
      <c r="AN8" s="256"/>
      <c r="AO8" s="256"/>
      <c r="AP8" s="256"/>
      <c r="AQ8" s="256"/>
      <c r="AR8" s="256"/>
    </row>
    <row r="9" spans="1:44" s="183" customFormat="1" ht="12.75" customHeight="1" x14ac:dyDescent="0.2">
      <c r="A9" s="206"/>
      <c r="B9" s="238" t="s">
        <v>165</v>
      </c>
      <c r="C9" s="294"/>
      <c r="D9" s="208">
        <v>0</v>
      </c>
      <c r="E9" s="209">
        <f>FACTORS!$I$2*D9</f>
        <v>0</v>
      </c>
      <c r="F9" s="201">
        <f>E9*24</f>
        <v>0</v>
      </c>
      <c r="G9" s="210">
        <v>0</v>
      </c>
      <c r="H9" s="211">
        <v>0</v>
      </c>
      <c r="I9" s="222">
        <f>FACTORS!$C$17*D9/453.592</f>
        <v>0</v>
      </c>
      <c r="J9" s="404">
        <f>FACTORS!$D$17*D9/453.592</f>
        <v>0</v>
      </c>
      <c r="K9" s="405">
        <f>FACTORS!$E$17*D9/453.592</f>
        <v>0</v>
      </c>
      <c r="L9" s="202">
        <f>FACTORS!$F$17*D9/453.592</f>
        <v>0</v>
      </c>
      <c r="M9" s="202">
        <f>FACTORS!$G$17*D9/453.592</f>
        <v>0</v>
      </c>
      <c r="N9" s="201">
        <f>FACTORS!$H$17*D9/453.592</f>
        <v>0</v>
      </c>
      <c r="O9" s="202">
        <f>FACTORS!$I$17*D9/453.592</f>
        <v>0</v>
      </c>
      <c r="P9" s="202">
        <f>FACTORS!$J$17*D9/453.592</f>
        <v>0</v>
      </c>
      <c r="Q9" s="204">
        <f>IFERROR(FACTORS!$K$17*D9/453.592,"--")</f>
        <v>0</v>
      </c>
      <c r="R9" s="200">
        <f>IF(I9=0,0,I9*($F9/($E9*24))*$G9*$H9/2000)</f>
        <v>0</v>
      </c>
      <c r="S9" s="202">
        <f t="shared" si="0"/>
        <v>0</v>
      </c>
      <c r="T9" s="202">
        <f t="shared" si="0"/>
        <v>0</v>
      </c>
      <c r="U9" s="202">
        <f t="shared" si="1"/>
        <v>0</v>
      </c>
      <c r="V9" s="202">
        <f t="shared" si="1"/>
        <v>0</v>
      </c>
      <c r="W9" s="202">
        <f t="shared" si="1"/>
        <v>0</v>
      </c>
      <c r="X9" s="202">
        <f>IFERROR(IF(O9=0,0,O9*($F9/($E9*24))*$G9*$H9/2000),"--")</f>
        <v>0</v>
      </c>
      <c r="Y9" s="202">
        <f>IF(P9=0,0,P9*($F9/($E9*24))*$G9*$H9/2000)</f>
        <v>0</v>
      </c>
      <c r="Z9" s="213">
        <f>IFERROR(IF(Q9=0,0,Q9*($F9/($E9*24))*$G9*$H9/2000),"--")</f>
        <v>0</v>
      </c>
      <c r="AA9" s="256"/>
      <c r="AB9" s="256"/>
      <c r="AC9" s="256"/>
      <c r="AD9" s="256"/>
      <c r="AE9" s="256"/>
      <c r="AF9" s="256"/>
      <c r="AG9" s="256"/>
      <c r="AH9" s="256"/>
      <c r="AI9" s="256"/>
      <c r="AJ9" s="256"/>
      <c r="AK9" s="256"/>
      <c r="AL9" s="256"/>
      <c r="AM9" s="256"/>
      <c r="AN9" s="256"/>
      <c r="AO9" s="256"/>
      <c r="AP9" s="256"/>
      <c r="AQ9" s="256"/>
      <c r="AR9" s="256"/>
    </row>
    <row r="10" spans="1:44" s="183" customFormat="1" ht="12.75" customHeight="1" x14ac:dyDescent="0.2">
      <c r="A10" s="206"/>
      <c r="B10" s="238" t="s">
        <v>165</v>
      </c>
      <c r="C10" s="294"/>
      <c r="D10" s="208">
        <v>0</v>
      </c>
      <c r="E10" s="209">
        <f>FACTORS!$I$2*D10</f>
        <v>0</v>
      </c>
      <c r="F10" s="201">
        <f>E10*24</f>
        <v>0</v>
      </c>
      <c r="G10" s="210">
        <v>0</v>
      </c>
      <c r="H10" s="211">
        <v>0</v>
      </c>
      <c r="I10" s="222">
        <f>FACTORS!$C$17*D10/453.592</f>
        <v>0</v>
      </c>
      <c r="J10" s="404">
        <f>FACTORS!$D$17*D10/453.592</f>
        <v>0</v>
      </c>
      <c r="K10" s="405">
        <f>FACTORS!$E$17*D10/453.592</f>
        <v>0</v>
      </c>
      <c r="L10" s="202">
        <f>FACTORS!$F$17*D10/453.592</f>
        <v>0</v>
      </c>
      <c r="M10" s="202">
        <f>FACTORS!$G$17*D10/453.592</f>
        <v>0</v>
      </c>
      <c r="N10" s="201">
        <f>FACTORS!$H$17*D10/453.592</f>
        <v>0</v>
      </c>
      <c r="O10" s="202">
        <f>FACTORS!$I$17*D10/453.592</f>
        <v>0</v>
      </c>
      <c r="P10" s="202">
        <f>FACTORS!$J$17*D10/453.592</f>
        <v>0</v>
      </c>
      <c r="Q10" s="204">
        <f>IFERROR(FACTORS!$K$17*D10/453.592,"--")</f>
        <v>0</v>
      </c>
      <c r="R10" s="200">
        <f>IF(I10=0,0,I10*($F10/($E10*24))*$G10*$H10/2000)</f>
        <v>0</v>
      </c>
      <c r="S10" s="202">
        <f>IF(J10=0,0,J10*($F10/($E10*24))*$G10*$H10/2000)</f>
        <v>0</v>
      </c>
      <c r="T10" s="202">
        <f t="shared" si="0"/>
        <v>0</v>
      </c>
      <c r="U10" s="202">
        <f t="shared" si="1"/>
        <v>0</v>
      </c>
      <c r="V10" s="202">
        <f t="shared" si="1"/>
        <v>0</v>
      </c>
      <c r="W10" s="202">
        <f t="shared" si="1"/>
        <v>0</v>
      </c>
      <c r="X10" s="202">
        <f>IFERROR(IF(O10=0,0,O10*($F10/($E10*24))*$G10*$H10/2000),"--")</f>
        <v>0</v>
      </c>
      <c r="Y10" s="202">
        <f>IF(P10=0,0,P10*($F10/($E10*24))*$G10*$H10/2000)</f>
        <v>0</v>
      </c>
      <c r="Z10" s="213">
        <f>IFERROR(IF(Q10=0,0,Q10*($F10/($E10*24))*$G10*$H10/2000),"--")</f>
        <v>0</v>
      </c>
      <c r="AA10" s="256"/>
      <c r="AB10" s="256"/>
      <c r="AC10" s="256"/>
      <c r="AD10" s="256"/>
      <c r="AE10" s="256"/>
      <c r="AF10" s="256"/>
      <c r="AG10" s="256"/>
      <c r="AH10" s="256"/>
      <c r="AI10" s="256"/>
      <c r="AJ10" s="256"/>
      <c r="AK10" s="256"/>
      <c r="AL10" s="256"/>
      <c r="AM10" s="256"/>
      <c r="AN10" s="256"/>
      <c r="AO10" s="256"/>
      <c r="AP10" s="256"/>
      <c r="AQ10" s="256"/>
      <c r="AR10" s="256"/>
    </row>
    <row r="11" spans="1:44" s="183" customFormat="1" x14ac:dyDescent="0.2">
      <c r="A11" s="206"/>
      <c r="B11" s="207" t="s">
        <v>194</v>
      </c>
      <c r="C11" s="207"/>
      <c r="D11" s="208">
        <v>0</v>
      </c>
      <c r="E11" s="214"/>
      <c r="F11" s="215"/>
      <c r="G11" s="208">
        <v>0</v>
      </c>
      <c r="H11" s="211">
        <v>0</v>
      </c>
      <c r="I11" s="222">
        <f>FACTORS!$C$19*D11/453.592</f>
        <v>0</v>
      </c>
      <c r="J11" s="404">
        <f>FACTORS!$D$19*D11/453.592</f>
        <v>0</v>
      </c>
      <c r="K11" s="405">
        <f>FACTORS!$E$19*D11/453.592</f>
        <v>0</v>
      </c>
      <c r="L11" s="202">
        <f>FACTORS!$F$19*D11/453.592</f>
        <v>0</v>
      </c>
      <c r="M11" s="202">
        <f>FACTORS!$G$19*D11/453.592</f>
        <v>0</v>
      </c>
      <c r="N11" s="201">
        <f>FACTORS!$H$19*D11/453.592</f>
        <v>0</v>
      </c>
      <c r="O11" s="202">
        <f>FACTORS!$I$19*D11/453.592</f>
        <v>0</v>
      </c>
      <c r="P11" s="202">
        <f>FACTORS!$J$19*D11/453.592</f>
        <v>0</v>
      </c>
      <c r="Q11" s="204">
        <f>FACTORS!$K$19*D11/453.592</f>
        <v>0</v>
      </c>
      <c r="R11" s="200">
        <f>I11*$G11*$H11/2000</f>
        <v>0</v>
      </c>
      <c r="S11" s="408">
        <f>J11*$G11*$H11/2000</f>
        <v>0</v>
      </c>
      <c r="T11" s="408">
        <f>K11*$G11*$H11/2000</f>
        <v>0</v>
      </c>
      <c r="U11" s="202">
        <f t="shared" ref="U11:Z11" si="2">L11*$G11*$H11/2000</f>
        <v>0</v>
      </c>
      <c r="V11" s="202">
        <f t="shared" si="2"/>
        <v>0</v>
      </c>
      <c r="W11" s="202">
        <f t="shared" si="2"/>
        <v>0</v>
      </c>
      <c r="X11" s="202">
        <f t="shared" si="2"/>
        <v>0</v>
      </c>
      <c r="Y11" s="202">
        <f t="shared" si="2"/>
        <v>0</v>
      </c>
      <c r="Z11" s="213">
        <f t="shared" si="2"/>
        <v>0</v>
      </c>
      <c r="AA11" s="256"/>
      <c r="AB11" s="256"/>
      <c r="AC11" s="256"/>
      <c r="AD11" s="256"/>
      <c r="AE11" s="256"/>
      <c r="AF11" s="256"/>
      <c r="AG11" s="256"/>
      <c r="AH11" s="256"/>
      <c r="AI11" s="256"/>
      <c r="AJ11" s="256"/>
      <c r="AK11" s="256"/>
      <c r="AL11" s="256"/>
      <c r="AM11" s="256"/>
      <c r="AN11" s="256"/>
      <c r="AO11" s="256"/>
      <c r="AP11" s="256"/>
      <c r="AQ11" s="256"/>
      <c r="AR11" s="256"/>
    </row>
    <row r="12" spans="1:44" s="183" customFormat="1" x14ac:dyDescent="0.2">
      <c r="A12" s="206"/>
      <c r="B12" s="207" t="s">
        <v>200</v>
      </c>
      <c r="C12" s="207"/>
      <c r="D12" s="208">
        <v>0</v>
      </c>
      <c r="E12" s="209">
        <f>FACTORS!$I$2*D12</f>
        <v>0</v>
      </c>
      <c r="F12" s="201">
        <f>E12*24</f>
        <v>0</v>
      </c>
      <c r="G12" s="210">
        <v>0</v>
      </c>
      <c r="H12" s="211">
        <v>0</v>
      </c>
      <c r="I12" s="406">
        <f>FACTORS!$C$18*D12/453.592</f>
        <v>0</v>
      </c>
      <c r="J12" s="404">
        <f>FACTORS!$D$18*D12/453.592</f>
        <v>0</v>
      </c>
      <c r="K12" s="405">
        <f>FACTORS!$E$18*D12/453.592</f>
        <v>0</v>
      </c>
      <c r="L12" s="202">
        <f>FACTORS!$F$18*D12/453.592</f>
        <v>0</v>
      </c>
      <c r="M12" s="202">
        <f>FACTORS!$G$18*D12/453.592</f>
        <v>0</v>
      </c>
      <c r="N12" s="201">
        <f>FACTORS!$H$18*D12/453.592</f>
        <v>0</v>
      </c>
      <c r="O12" s="202">
        <f>FACTORS!$I$18*D12/453.592</f>
        <v>0</v>
      </c>
      <c r="P12" s="202">
        <f>FACTORS!$J$18*D12/453.592</f>
        <v>0</v>
      </c>
      <c r="Q12" s="204">
        <f>FACTORS!$K$18*D12/453.592</f>
        <v>0</v>
      </c>
      <c r="R12" s="200">
        <f>IF(I12=0,0,I12*($F12/($E12*24))*$G12*$H12/2000)</f>
        <v>0</v>
      </c>
      <c r="S12" s="202">
        <f t="shared" ref="S12:W12" si="3">IF(J12=0,0,J12*($F12/($E12*24))*$G12*$H12/2000)</f>
        <v>0</v>
      </c>
      <c r="T12" s="202">
        <f t="shared" si="3"/>
        <v>0</v>
      </c>
      <c r="U12" s="202">
        <f t="shared" si="3"/>
        <v>0</v>
      </c>
      <c r="V12" s="202">
        <f t="shared" si="3"/>
        <v>0</v>
      </c>
      <c r="W12" s="202">
        <f t="shared" si="3"/>
        <v>0</v>
      </c>
      <c r="X12" s="202">
        <f>IFERROR(IF(O12=0,0,O12*($F12/($E12*24))*$G12*$H12/2000),"--")</f>
        <v>0</v>
      </c>
      <c r="Y12" s="202">
        <f t="shared" ref="Y12" si="4">IF(P12=0,0,P12*($F12/($E12*24))*$G12*$H12/2000)</f>
        <v>0</v>
      </c>
      <c r="Z12" s="213">
        <f>IFERROR(IF(Q12=0,0,Q12*($F12/($E12*24))*$G12*$H12/2000),"--")</f>
        <v>0</v>
      </c>
      <c r="AA12" s="256"/>
      <c r="AB12" s="256"/>
      <c r="AC12" s="256"/>
      <c r="AD12" s="256"/>
      <c r="AE12" s="256"/>
      <c r="AF12" s="256"/>
      <c r="AG12" s="256"/>
      <c r="AH12" s="256"/>
      <c r="AI12" s="256"/>
      <c r="AJ12" s="256"/>
      <c r="AK12" s="256"/>
      <c r="AL12" s="256"/>
      <c r="AM12" s="256"/>
      <c r="AN12" s="256"/>
      <c r="AO12" s="256"/>
      <c r="AP12" s="256"/>
      <c r="AQ12" s="256"/>
      <c r="AR12" s="256"/>
    </row>
    <row r="13" spans="1:44" ht="12.75" customHeight="1" x14ac:dyDescent="0.2">
      <c r="A13" s="61"/>
      <c r="B13" s="62"/>
      <c r="C13" s="62"/>
      <c r="D13" s="63"/>
      <c r="E13" s="64" t="s">
        <v>0</v>
      </c>
      <c r="F13" s="65"/>
      <c r="G13" s="66"/>
      <c r="H13" s="67"/>
      <c r="I13" s="59" t="s">
        <v>0</v>
      </c>
      <c r="J13" s="60"/>
      <c r="K13" s="374"/>
      <c r="L13" s="60" t="s">
        <v>0</v>
      </c>
      <c r="M13" s="60"/>
      <c r="N13" s="58"/>
      <c r="O13" s="60"/>
      <c r="P13" s="60"/>
      <c r="Q13" s="151"/>
      <c r="R13" s="75"/>
      <c r="S13" s="60"/>
      <c r="T13" s="60"/>
      <c r="U13" s="60"/>
      <c r="V13" s="60"/>
      <c r="W13" s="60"/>
      <c r="X13" s="60"/>
      <c r="Y13" s="60"/>
      <c r="Z13" s="110"/>
    </row>
    <row r="14" spans="1:44" s="183" customFormat="1" ht="12.75" customHeight="1" x14ac:dyDescent="0.2">
      <c r="A14" s="206" t="s">
        <v>183</v>
      </c>
      <c r="B14" s="207" t="s">
        <v>121</v>
      </c>
      <c r="C14" s="207"/>
      <c r="D14" s="208">
        <v>0</v>
      </c>
      <c r="E14" s="216">
        <f>FACTORS!$I$2*D14</f>
        <v>0</v>
      </c>
      <c r="F14" s="201">
        <f>E14*24</f>
        <v>0</v>
      </c>
      <c r="G14" s="210">
        <v>0</v>
      </c>
      <c r="H14" s="211">
        <v>0</v>
      </c>
      <c r="I14" s="236">
        <f>FACTORS!$C$17*D14/453.592</f>
        <v>0</v>
      </c>
      <c r="J14" s="407">
        <f>FACTORS!$D$17*D14/453.592</f>
        <v>0</v>
      </c>
      <c r="K14" s="409">
        <f>FACTORS!$E$17*D14/453.592</f>
        <v>0</v>
      </c>
      <c r="L14" s="219">
        <f>FACTORS!$F$17*D14/453.592</f>
        <v>0</v>
      </c>
      <c r="M14" s="219">
        <f>FACTORS!$G$17*D14/453.592</f>
        <v>0</v>
      </c>
      <c r="N14" s="218">
        <f>FACTORS!$H$17*D14/453.592</f>
        <v>0</v>
      </c>
      <c r="O14" s="219">
        <f>FACTORS!$I$17*D14/453.592</f>
        <v>0</v>
      </c>
      <c r="P14" s="219">
        <f>FACTORS!$J$17*D14/453.592</f>
        <v>0</v>
      </c>
      <c r="Q14" s="220">
        <f>FACTORS!$K$17*D14/453.592</f>
        <v>0</v>
      </c>
      <c r="R14" s="217">
        <f>IF(I14=0,0,I14*($F14/($E14*24))*$G14*$H14/2000)</f>
        <v>0</v>
      </c>
      <c r="S14" s="219">
        <f t="shared" ref="S14:W14" si="5">IF(J14=0,0,J14*($F14/($E14*24))*$G14*$H14/2000)</f>
        <v>0</v>
      </c>
      <c r="T14" s="219">
        <f t="shared" si="5"/>
        <v>0</v>
      </c>
      <c r="U14" s="219">
        <f t="shared" si="5"/>
        <v>0</v>
      </c>
      <c r="V14" s="219">
        <f t="shared" si="5"/>
        <v>0</v>
      </c>
      <c r="W14" s="219">
        <f t="shared" si="5"/>
        <v>0</v>
      </c>
      <c r="X14" s="219">
        <f>IFERROR(IF(O14=0,0,O14*($F14/($E14*24))*$G14*$H14/2000),"--")</f>
        <v>0</v>
      </c>
      <c r="Y14" s="219">
        <f t="shared" ref="Y14" si="6">IF(P14=0,0,P14*($F14/($E14*24))*$G14*$H14/2000)</f>
        <v>0</v>
      </c>
      <c r="Z14" s="221">
        <f>IFERROR(IF(Q14=0,0,Q14*($F14/($E14*24))*$G14*$H14/2000),"--")</f>
        <v>0</v>
      </c>
      <c r="AA14" s="256"/>
      <c r="AB14" s="256"/>
      <c r="AC14" s="256"/>
      <c r="AD14" s="256"/>
      <c r="AE14" s="256"/>
      <c r="AF14" s="256"/>
      <c r="AG14" s="256"/>
      <c r="AH14" s="256"/>
      <c r="AI14" s="256"/>
      <c r="AJ14" s="256"/>
      <c r="AK14" s="256"/>
      <c r="AL14" s="256"/>
      <c r="AM14" s="256"/>
      <c r="AN14" s="256"/>
      <c r="AO14" s="256"/>
      <c r="AP14" s="256"/>
      <c r="AQ14" s="256"/>
      <c r="AR14" s="256"/>
    </row>
    <row r="15" spans="1:44" ht="12.75" customHeight="1" x14ac:dyDescent="0.2">
      <c r="A15" s="61"/>
      <c r="B15" s="62"/>
      <c r="C15" s="62"/>
      <c r="D15" s="450" t="s">
        <v>205</v>
      </c>
      <c r="E15" s="64" t="s">
        <v>0</v>
      </c>
      <c r="F15" s="65"/>
      <c r="G15" s="66"/>
      <c r="H15" s="67"/>
      <c r="I15" s="59" t="s">
        <v>0</v>
      </c>
      <c r="J15" s="414" t="s">
        <v>0</v>
      </c>
      <c r="K15" s="415" t="s">
        <v>0</v>
      </c>
      <c r="L15" s="60" t="s">
        <v>0</v>
      </c>
      <c r="M15" s="60"/>
      <c r="N15" s="58"/>
      <c r="O15" s="60"/>
      <c r="P15" s="60"/>
      <c r="Q15" s="151"/>
      <c r="R15" s="75"/>
      <c r="S15" s="60"/>
      <c r="T15" s="60"/>
      <c r="U15" s="60"/>
      <c r="V15" s="60"/>
      <c r="W15" s="60"/>
      <c r="X15" s="68"/>
      <c r="Y15" s="68"/>
      <c r="Z15" s="69"/>
    </row>
    <row r="16" spans="1:44" ht="12.75" customHeight="1" x14ac:dyDescent="0.2">
      <c r="A16" s="230" t="s">
        <v>61</v>
      </c>
      <c r="B16" s="231" t="s">
        <v>31</v>
      </c>
      <c r="C16" s="232"/>
      <c r="D16" s="233">
        <v>0</v>
      </c>
      <c r="E16" s="227"/>
      <c r="F16" s="228"/>
      <c r="G16" s="234">
        <v>0</v>
      </c>
      <c r="H16" s="235">
        <v>0</v>
      </c>
      <c r="I16" s="236">
        <f>FACTORS!$C$27*D16/24</f>
        <v>0</v>
      </c>
      <c r="J16" s="407">
        <f>FACTORS!$D$27*D16/24</f>
        <v>0</v>
      </c>
      <c r="K16" s="409">
        <f>FACTORS!$E$27*D16/24</f>
        <v>0</v>
      </c>
      <c r="L16" s="219">
        <f>FACTORS!$F$27*D16/24</f>
        <v>0</v>
      </c>
      <c r="M16" s="219">
        <f>FACTORS!$G$27*D16/24</f>
        <v>0</v>
      </c>
      <c r="N16" s="218">
        <f>FACTORS!$H$27*D16/24</f>
        <v>0</v>
      </c>
      <c r="O16" s="218">
        <f>FACTORS!$I$27*D16/24</f>
        <v>0</v>
      </c>
      <c r="P16" s="219">
        <f>FACTORS!$J$27*D16/24</f>
        <v>0</v>
      </c>
      <c r="Q16" s="219">
        <f>FACTORS!$K$27*D16/24</f>
        <v>0</v>
      </c>
      <c r="R16" s="236">
        <f>IFERROR(I16*$G16*$H16/2000, "--")</f>
        <v>0</v>
      </c>
      <c r="S16" s="408">
        <f>IFERROR(J16*$G16*$H16/2000, "--")</f>
        <v>0</v>
      </c>
      <c r="T16" s="409">
        <f>IFERROR(K16*$G16*$H16/2000, "--")</f>
        <v>0</v>
      </c>
      <c r="U16" s="219">
        <f t="shared" ref="U16:Z16" si="7">IFERROR(L16*$G16*$H16/2000, "--")</f>
        <v>0</v>
      </c>
      <c r="V16" s="219">
        <f t="shared" si="7"/>
        <v>0</v>
      </c>
      <c r="W16" s="219">
        <f t="shared" si="7"/>
        <v>0</v>
      </c>
      <c r="X16" s="219">
        <f t="shared" si="7"/>
        <v>0</v>
      </c>
      <c r="Y16" s="218">
        <f t="shared" si="7"/>
        <v>0</v>
      </c>
      <c r="Z16" s="221">
        <f t="shared" si="7"/>
        <v>0</v>
      </c>
    </row>
    <row r="17" spans="1:44" ht="15" customHeight="1" x14ac:dyDescent="0.2">
      <c r="A17" s="237" t="s">
        <v>65</v>
      </c>
      <c r="B17" s="207" t="s">
        <v>128</v>
      </c>
      <c r="C17" s="238"/>
      <c r="D17" s="239"/>
      <c r="E17" s="209">
        <v>0</v>
      </c>
      <c r="F17" s="229" t="s">
        <v>0</v>
      </c>
      <c r="G17" s="208">
        <v>0</v>
      </c>
      <c r="H17" s="211">
        <v>0</v>
      </c>
      <c r="I17" s="222">
        <f>FACTORS!$C$22*E17/1000000</f>
        <v>0</v>
      </c>
      <c r="J17" s="408">
        <f>FACTORS!$D$22*E17/1000000</f>
        <v>0</v>
      </c>
      <c r="K17" s="404">
        <f>FACTORS!$E$22*E17/1000000</f>
        <v>0</v>
      </c>
      <c r="L17" s="202">
        <f>FACTORS!$F$22*E17/1000000</f>
        <v>0</v>
      </c>
      <c r="M17" s="202">
        <f>FACTORS!$G$22*E17/1000000</f>
        <v>0</v>
      </c>
      <c r="N17" s="201">
        <f>FACTORS!$H$22*E17/1000000</f>
        <v>0</v>
      </c>
      <c r="O17" s="202" t="str">
        <f>IFERROR(FACTORS!$I$22*E17/1000000,"--")</f>
        <v>--</v>
      </c>
      <c r="P17" s="202">
        <f>FACTORS!$J$22*E17/1000000</f>
        <v>0</v>
      </c>
      <c r="Q17" s="212" t="str">
        <f>IFERROR(FACTORS!$K$22*E17/1000000, "--")</f>
        <v>--</v>
      </c>
      <c r="R17" s="222">
        <f>IFERROR(I17*$G17*$H17/2000,"--")</f>
        <v>0</v>
      </c>
      <c r="S17" s="408">
        <f t="shared" ref="S17:Z20" si="8">IFERROR(J17*$G17*$H17/2000,"--")</f>
        <v>0</v>
      </c>
      <c r="T17" s="404">
        <f t="shared" si="8"/>
        <v>0</v>
      </c>
      <c r="U17" s="202">
        <f t="shared" si="8"/>
        <v>0</v>
      </c>
      <c r="V17" s="202">
        <f t="shared" si="8"/>
        <v>0</v>
      </c>
      <c r="W17" s="202">
        <f t="shared" si="8"/>
        <v>0</v>
      </c>
      <c r="X17" s="202" t="str">
        <f t="shared" si="8"/>
        <v>--</v>
      </c>
      <c r="Y17" s="202">
        <f t="shared" si="8"/>
        <v>0</v>
      </c>
      <c r="Z17" s="213" t="str">
        <f t="shared" si="8"/>
        <v>--</v>
      </c>
    </row>
    <row r="18" spans="1:44" ht="15" customHeight="1" x14ac:dyDescent="0.2">
      <c r="A18" s="237"/>
      <c r="B18" s="207" t="s">
        <v>129</v>
      </c>
      <c r="C18" s="207"/>
      <c r="D18" s="240"/>
      <c r="E18" s="209">
        <v>0</v>
      </c>
      <c r="F18" s="229" t="s">
        <v>0</v>
      </c>
      <c r="G18" s="208">
        <v>0</v>
      </c>
      <c r="H18" s="211">
        <v>0</v>
      </c>
      <c r="I18" s="222">
        <f>FACTORS!$C$23*E18/1000000</f>
        <v>0</v>
      </c>
      <c r="J18" s="408">
        <f>FACTORS!$D$23*E18/1000000</f>
        <v>0</v>
      </c>
      <c r="K18" s="404">
        <f>FACTORS!$E$23*E18/1000000</f>
        <v>0</v>
      </c>
      <c r="L18" s="202">
        <f>FACTORS!$F$23*E18/1000000</f>
        <v>0</v>
      </c>
      <c r="M18" s="202">
        <f>FACTORS!$G$23*E18/1000000</f>
        <v>0</v>
      </c>
      <c r="N18" s="201">
        <f>FACTORS!$H$23*E18/1000000</f>
        <v>0</v>
      </c>
      <c r="O18" s="202" t="str">
        <f>IFERROR(FACTORS!$I$23*E18/1000000, "--")</f>
        <v>--</v>
      </c>
      <c r="P18" s="202">
        <f>FACTORS!$J$23*E18/1000000</f>
        <v>0</v>
      </c>
      <c r="Q18" s="223" t="str">
        <f>IFERROR(FACTORS!$K$23*E18/1000000, "--")</f>
        <v>--</v>
      </c>
      <c r="R18" s="222">
        <f>IFERROR(I18*$G18*$H18/2000,"--")</f>
        <v>0</v>
      </c>
      <c r="S18" s="408">
        <f t="shared" si="8"/>
        <v>0</v>
      </c>
      <c r="T18" s="404">
        <f t="shared" si="8"/>
        <v>0</v>
      </c>
      <c r="U18" s="202">
        <f t="shared" si="8"/>
        <v>0</v>
      </c>
      <c r="V18" s="202">
        <f t="shared" si="8"/>
        <v>0</v>
      </c>
      <c r="W18" s="202">
        <f t="shared" si="8"/>
        <v>0</v>
      </c>
      <c r="X18" s="202" t="str">
        <f t="shared" si="8"/>
        <v>--</v>
      </c>
      <c r="Y18" s="202">
        <f t="shared" si="8"/>
        <v>0</v>
      </c>
      <c r="Z18" s="213" t="str">
        <f t="shared" si="8"/>
        <v>--</v>
      </c>
    </row>
    <row r="19" spans="1:44" ht="15" customHeight="1" x14ac:dyDescent="0.2">
      <c r="A19" s="237"/>
      <c r="B19" s="207" t="s">
        <v>130</v>
      </c>
      <c r="C19" s="207"/>
      <c r="D19" s="240"/>
      <c r="E19" s="209">
        <v>0</v>
      </c>
      <c r="F19" s="229" t="s">
        <v>0</v>
      </c>
      <c r="G19" s="208">
        <v>0</v>
      </c>
      <c r="H19" s="211">
        <v>0</v>
      </c>
      <c r="I19" s="222">
        <f>FACTORS!$C$24*E19/1000000</f>
        <v>0</v>
      </c>
      <c r="J19" s="408">
        <f>FACTORS!$D$24*E19/1000000</f>
        <v>0</v>
      </c>
      <c r="K19" s="404">
        <f>FACTORS!$E$24*E19/1000000</f>
        <v>0</v>
      </c>
      <c r="L19" s="202">
        <f>FACTORS!$F$24*E19/1000000</f>
        <v>0</v>
      </c>
      <c r="M19" s="202">
        <f>FACTORS!$G$24*E19/1000000</f>
        <v>0</v>
      </c>
      <c r="N19" s="201">
        <f>FACTORS!$H$24*E19/1000000</f>
        <v>0</v>
      </c>
      <c r="O19" s="202" t="str">
        <f>IFERROR(FACTORS!$I$24*E19/1000000, "--")</f>
        <v>--</v>
      </c>
      <c r="P19" s="202">
        <f>FACTORS!$J$24*E19/1000000</f>
        <v>0</v>
      </c>
      <c r="Q19" s="223" t="str">
        <f>IFERROR(FACTORS!$K$24*E19/1000000, "--")</f>
        <v>--</v>
      </c>
      <c r="R19" s="222">
        <f>IFERROR(I19*$G19*$H19/2000,"--")</f>
        <v>0</v>
      </c>
      <c r="S19" s="408">
        <f t="shared" si="8"/>
        <v>0</v>
      </c>
      <c r="T19" s="404">
        <f t="shared" si="8"/>
        <v>0</v>
      </c>
      <c r="U19" s="202">
        <f t="shared" si="8"/>
        <v>0</v>
      </c>
      <c r="V19" s="202">
        <f t="shared" si="8"/>
        <v>0</v>
      </c>
      <c r="W19" s="202">
        <f t="shared" si="8"/>
        <v>0</v>
      </c>
      <c r="X19" s="202" t="str">
        <f t="shared" si="8"/>
        <v>--</v>
      </c>
      <c r="Y19" s="202">
        <f t="shared" si="8"/>
        <v>0</v>
      </c>
      <c r="Z19" s="213" t="str">
        <f t="shared" si="8"/>
        <v>--</v>
      </c>
    </row>
    <row r="20" spans="1:44" ht="15" customHeight="1" x14ac:dyDescent="0.2">
      <c r="A20" s="237"/>
      <c r="B20" s="207" t="s">
        <v>131</v>
      </c>
      <c r="C20" s="207"/>
      <c r="D20" s="240"/>
      <c r="E20" s="209">
        <v>0</v>
      </c>
      <c r="F20" s="229" t="s">
        <v>0</v>
      </c>
      <c r="G20" s="208">
        <v>0</v>
      </c>
      <c r="H20" s="211">
        <v>0</v>
      </c>
      <c r="I20" s="222">
        <f>FACTORS!$C$25*E20/1000000</f>
        <v>0</v>
      </c>
      <c r="J20" s="408">
        <f>FACTORS!$D$25*E20/1000000</f>
        <v>0</v>
      </c>
      <c r="K20" s="404">
        <f>FACTORS!$E$25*E20/1000000</f>
        <v>0</v>
      </c>
      <c r="L20" s="202">
        <f>FACTORS!$F$25*E20/1000000</f>
        <v>0</v>
      </c>
      <c r="M20" s="202">
        <f>FACTORS!$G$25*E20/1000000</f>
        <v>0</v>
      </c>
      <c r="N20" s="201">
        <f>FACTORS!$H$25*E20/1000000</f>
        <v>0</v>
      </c>
      <c r="O20" s="202" t="str">
        <f>IFERROR(FACTORS!$I$25*E20/1000000, "--")</f>
        <v>--</v>
      </c>
      <c r="P20" s="202">
        <f>FACTORS!$J$25*E20/1000000</f>
        <v>0</v>
      </c>
      <c r="Q20" s="223" t="str">
        <f>IFERROR(FACTORS!$K$25*E20/1000000, "--")</f>
        <v>--</v>
      </c>
      <c r="R20" s="328">
        <f>IFERROR(I20*$G20*$H20/2000,"--")</f>
        <v>0</v>
      </c>
      <c r="S20" s="410">
        <f t="shared" si="8"/>
        <v>0</v>
      </c>
      <c r="T20" s="411">
        <f>IFERROR(K20*$G20*$H20/2000,"--")</f>
        <v>0</v>
      </c>
      <c r="U20" s="225">
        <f t="shared" si="8"/>
        <v>0</v>
      </c>
      <c r="V20" s="225">
        <f t="shared" si="8"/>
        <v>0</v>
      </c>
      <c r="W20" s="225">
        <f t="shared" si="8"/>
        <v>0</v>
      </c>
      <c r="X20" s="225" t="str">
        <f t="shared" si="8"/>
        <v>--</v>
      </c>
      <c r="Y20" s="225">
        <f t="shared" si="8"/>
        <v>0</v>
      </c>
      <c r="Z20" s="226" t="str">
        <f t="shared" si="8"/>
        <v>--</v>
      </c>
    </row>
    <row r="21" spans="1:44" ht="24.75" customHeight="1" x14ac:dyDescent="0.2">
      <c r="A21" s="360" t="s">
        <v>184</v>
      </c>
      <c r="B21" s="362" t="s">
        <v>160</v>
      </c>
      <c r="C21" s="157"/>
      <c r="D21" s="357" t="s">
        <v>100</v>
      </c>
      <c r="E21" s="74"/>
      <c r="F21" s="74"/>
      <c r="G21" s="169" t="s">
        <v>60</v>
      </c>
      <c r="H21" s="358" t="s">
        <v>71</v>
      </c>
      <c r="I21" s="375"/>
      <c r="J21" s="425"/>
      <c r="K21" s="426"/>
      <c r="L21" s="320"/>
      <c r="M21" s="320"/>
      <c r="N21" s="121"/>
      <c r="O21" s="320"/>
      <c r="P21" s="320"/>
      <c r="Q21" s="359"/>
      <c r="R21" s="59"/>
      <c r="S21" s="414"/>
      <c r="T21" s="415"/>
      <c r="U21" s="60"/>
      <c r="V21" s="60"/>
      <c r="W21" s="60"/>
      <c r="X21" s="60"/>
      <c r="Y21" s="60"/>
      <c r="Z21" s="110"/>
    </row>
    <row r="22" spans="1:44" s="183" customFormat="1" ht="12.75" customHeight="1" x14ac:dyDescent="0.2">
      <c r="A22" s="324"/>
      <c r="B22" s="271" t="s">
        <v>120</v>
      </c>
      <c r="C22" s="272"/>
      <c r="D22" s="273">
        <v>0</v>
      </c>
      <c r="E22" s="270"/>
      <c r="F22" s="270"/>
      <c r="G22" s="273">
        <v>0</v>
      </c>
      <c r="H22" s="325">
        <v>0</v>
      </c>
      <c r="I22" s="328">
        <f>FACTORS!$C$41*D22/453.592</f>
        <v>0</v>
      </c>
      <c r="J22" s="410">
        <f>FACTORS!$D$41*D22/453.592</f>
        <v>0</v>
      </c>
      <c r="K22" s="411">
        <f>FACTORS!$E$41*D22/453.592</f>
        <v>0</v>
      </c>
      <c r="L22" s="225">
        <f>FACTORS!$F$41*D22/453.592</f>
        <v>0</v>
      </c>
      <c r="M22" s="225">
        <f>FACTORS!$G$41*D22/453.592</f>
        <v>0</v>
      </c>
      <c r="N22" s="326">
        <f>FACTORS!$H$41*D22/453.592</f>
        <v>0</v>
      </c>
      <c r="O22" s="365" t="s">
        <v>108</v>
      </c>
      <c r="P22" s="225">
        <f>FACTORS!$J$41*D22/453.592</f>
        <v>0</v>
      </c>
      <c r="Q22" s="356">
        <f>FACTORS!$K$41*D22/453.592</f>
        <v>0</v>
      </c>
      <c r="R22" s="224">
        <f t="shared" ref="R22" si="9">IFERROR((I22*$G22*$H22)/2000, "")</f>
        <v>0</v>
      </c>
      <c r="S22" s="410">
        <f>IFERROR((J22*$G22*$H22)/2000, "")</f>
        <v>0</v>
      </c>
      <c r="T22" s="411">
        <f>IFERROR((K22*$G22*$H22)/2000, "")</f>
        <v>0</v>
      </c>
      <c r="U22" s="327">
        <f t="shared" ref="U22:W22" si="10">IFERROR((L22*$G22*$H22)/2000, "")</f>
        <v>0</v>
      </c>
      <c r="V22" s="327">
        <f t="shared" si="10"/>
        <v>0</v>
      </c>
      <c r="W22" s="327">
        <f t="shared" si="10"/>
        <v>0</v>
      </c>
      <c r="X22" s="327" t="str">
        <f>IFERROR((O22*$G22*$H22)/2000, "--")</f>
        <v>--</v>
      </c>
      <c r="Y22" s="327">
        <f t="shared" ref="Y22:Z22" si="11">IFERROR((P22*$G22*$H22)/2000, "")</f>
        <v>0</v>
      </c>
      <c r="Z22" s="226">
        <f t="shared" si="11"/>
        <v>0</v>
      </c>
      <c r="AA22" s="256"/>
      <c r="AB22" s="256"/>
      <c r="AC22" s="256"/>
      <c r="AD22" s="256"/>
      <c r="AE22" s="256"/>
      <c r="AF22" s="256"/>
      <c r="AG22" s="256"/>
      <c r="AH22" s="256"/>
      <c r="AI22" s="256"/>
      <c r="AJ22" s="256"/>
      <c r="AK22" s="256"/>
      <c r="AL22" s="256"/>
      <c r="AM22" s="256"/>
      <c r="AN22" s="256"/>
      <c r="AO22" s="256"/>
      <c r="AP22" s="256"/>
      <c r="AQ22" s="256"/>
      <c r="AR22" s="256"/>
    </row>
    <row r="23" spans="1:44" s="252" customFormat="1" ht="12.75" customHeight="1" x14ac:dyDescent="0.2">
      <c r="A23" s="248">
        <f>EMISSIONS6!A23+1</f>
        <v>2026</v>
      </c>
      <c r="B23" s="249" t="s">
        <v>123</v>
      </c>
      <c r="C23" s="355"/>
      <c r="D23" s="241"/>
      <c r="E23" s="241"/>
      <c r="F23" s="250"/>
      <c r="G23" s="241"/>
      <c r="H23" s="251"/>
      <c r="I23" s="379">
        <f t="shared" ref="I23:Q23" si="12">SUM(I7:I22)</f>
        <v>0</v>
      </c>
      <c r="J23" s="412">
        <f t="shared" si="12"/>
        <v>0</v>
      </c>
      <c r="K23" s="413">
        <f t="shared" si="12"/>
        <v>0</v>
      </c>
      <c r="L23" s="253">
        <f t="shared" si="12"/>
        <v>0</v>
      </c>
      <c r="M23" s="253">
        <f t="shared" si="12"/>
        <v>0</v>
      </c>
      <c r="N23" s="253">
        <f t="shared" si="12"/>
        <v>0</v>
      </c>
      <c r="O23" s="253">
        <f t="shared" si="12"/>
        <v>0</v>
      </c>
      <c r="P23" s="253">
        <f t="shared" si="12"/>
        <v>0</v>
      </c>
      <c r="Q23" s="253">
        <f t="shared" si="12"/>
        <v>0</v>
      </c>
      <c r="R23" s="382">
        <f t="shared" ref="R23:Z23" si="13">SUM(R7:R22)</f>
        <v>0</v>
      </c>
      <c r="S23" s="412">
        <f t="shared" si="13"/>
        <v>0</v>
      </c>
      <c r="T23" s="413">
        <f t="shared" si="13"/>
        <v>0</v>
      </c>
      <c r="U23" s="253">
        <f t="shared" si="13"/>
        <v>0</v>
      </c>
      <c r="V23" s="253">
        <f t="shared" si="13"/>
        <v>0</v>
      </c>
      <c r="W23" s="253">
        <f t="shared" si="13"/>
        <v>0</v>
      </c>
      <c r="X23" s="253">
        <f t="shared" si="13"/>
        <v>0</v>
      </c>
      <c r="Y23" s="253">
        <f t="shared" si="13"/>
        <v>0</v>
      </c>
      <c r="Z23" s="261">
        <f t="shared" si="13"/>
        <v>0</v>
      </c>
      <c r="AA23" s="256"/>
      <c r="AB23" s="256"/>
      <c r="AC23" s="256"/>
      <c r="AD23" s="256"/>
      <c r="AE23" s="256"/>
      <c r="AF23" s="256"/>
      <c r="AG23" s="256"/>
      <c r="AH23" s="256"/>
      <c r="AI23" s="256"/>
      <c r="AJ23" s="256"/>
      <c r="AK23" s="256"/>
      <c r="AL23" s="256"/>
      <c r="AM23" s="256"/>
      <c r="AN23" s="256"/>
      <c r="AO23" s="256"/>
      <c r="AP23" s="256"/>
      <c r="AQ23" s="256"/>
      <c r="AR23" s="256"/>
    </row>
    <row r="24" spans="1:44" ht="26.1" customHeight="1" x14ac:dyDescent="0.2">
      <c r="A24" s="280" t="s">
        <v>66</v>
      </c>
      <c r="B24" s="76" t="s">
        <v>67</v>
      </c>
      <c r="C24" s="76"/>
      <c r="D24" s="70"/>
      <c r="E24" s="70"/>
      <c r="F24" s="71"/>
      <c r="G24" s="70"/>
      <c r="H24" s="119"/>
      <c r="I24" s="376"/>
      <c r="J24" s="421"/>
      <c r="K24" s="422"/>
      <c r="L24" s="285"/>
      <c r="M24" s="285"/>
      <c r="N24" s="285"/>
      <c r="O24" s="285"/>
      <c r="P24" s="285"/>
      <c r="Q24" s="120"/>
      <c r="R24" s="378">
        <f>33.3*$B$25</f>
        <v>0</v>
      </c>
      <c r="S24" s="417"/>
      <c r="T24" s="418"/>
      <c r="U24" s="288">
        <f>33.3*$B$25</f>
        <v>0</v>
      </c>
      <c r="V24" s="288">
        <f>33.3*$B$25</f>
        <v>0</v>
      </c>
      <c r="W24" s="288">
        <f>33.3*$B$25</f>
        <v>0</v>
      </c>
      <c r="X24" s="288"/>
      <c r="Y24" s="288">
        <f>3400*$B$25^(2/3)</f>
        <v>0</v>
      </c>
      <c r="Z24" s="289"/>
    </row>
    <row r="25" spans="1:44" s="276" customFormat="1" ht="12.75" customHeight="1" x14ac:dyDescent="0.2">
      <c r="A25" s="350"/>
      <c r="B25" s="137">
        <f>EMISSIONS1!B25</f>
        <v>0</v>
      </c>
      <c r="C25" s="137"/>
      <c r="D25" s="11"/>
      <c r="E25" s="11"/>
      <c r="F25" s="136"/>
      <c r="G25" s="11"/>
      <c r="H25" s="72"/>
      <c r="I25" s="321"/>
      <c r="J25" s="387"/>
      <c r="K25" s="416"/>
      <c r="L25" s="153"/>
      <c r="M25" s="153"/>
      <c r="N25" s="153"/>
      <c r="O25" s="153"/>
      <c r="P25" s="153"/>
      <c r="Q25" s="351"/>
      <c r="R25" s="352"/>
      <c r="S25" s="419"/>
      <c r="T25" s="420"/>
      <c r="U25" s="353"/>
      <c r="V25" s="353"/>
      <c r="W25" s="353"/>
      <c r="X25" s="353"/>
      <c r="Y25" s="353"/>
      <c r="Z25" s="354"/>
      <c r="AA25" s="275"/>
      <c r="AB25" s="275"/>
      <c r="AC25" s="275"/>
      <c r="AD25" s="275"/>
      <c r="AE25" s="275"/>
      <c r="AF25" s="275"/>
      <c r="AG25" s="275"/>
      <c r="AH25" s="275"/>
      <c r="AI25" s="275"/>
      <c r="AJ25" s="275"/>
      <c r="AK25" s="275"/>
      <c r="AL25" s="275"/>
      <c r="AM25" s="275"/>
      <c r="AN25" s="275"/>
      <c r="AO25" s="275"/>
      <c r="AP25" s="275"/>
      <c r="AQ25" s="275"/>
      <c r="AR25" s="275"/>
    </row>
    <row r="26" spans="1:44" s="183" customFormat="1" ht="12.75" customHeight="1" x14ac:dyDescent="0.2">
      <c r="A26" s="174" t="s">
        <v>61</v>
      </c>
      <c r="B26" s="175" t="s">
        <v>114</v>
      </c>
      <c r="C26" s="175"/>
      <c r="D26" s="176">
        <v>0</v>
      </c>
      <c r="E26" s="177">
        <f>FACTORS!$I$2*D26</f>
        <v>0</v>
      </c>
      <c r="F26" s="178">
        <f t="shared" ref="F26:F32" si="14">E26*24</f>
        <v>0</v>
      </c>
      <c r="G26" s="179">
        <v>0</v>
      </c>
      <c r="H26" s="180">
        <v>0</v>
      </c>
      <c r="I26" s="184">
        <f>FACTORS!$C$17*D26/453.592</f>
        <v>0</v>
      </c>
      <c r="J26" s="332">
        <f>FACTORS!$D$17*D26/453.592</f>
        <v>0</v>
      </c>
      <c r="K26" s="246">
        <f>FACTORS!$E$17*D26/453.592</f>
        <v>0</v>
      </c>
      <c r="L26" s="181">
        <f>FACTORS!$F$17*D26/453.592</f>
        <v>0</v>
      </c>
      <c r="M26" s="181">
        <f>FACTORS!$G$17*D26/453.592</f>
        <v>0</v>
      </c>
      <c r="N26" s="178">
        <f>FACTORS!$H$17*D26/453.592</f>
        <v>0</v>
      </c>
      <c r="O26" s="181">
        <f>FACTORS!$I$17*D26/453.592</f>
        <v>0</v>
      </c>
      <c r="P26" s="181">
        <f>FACTORS!$J$17*D26/453.592</f>
        <v>0</v>
      </c>
      <c r="Q26" s="191">
        <f>FACTORS!$K$17*D26/453.592</f>
        <v>0</v>
      </c>
      <c r="R26" s="184">
        <f t="shared" ref="R26:W32" si="15">IF(I26=0,0,I26*($F26/($E26*24))*$G26*$H26/2000)</f>
        <v>0</v>
      </c>
      <c r="S26" s="332">
        <f t="shared" si="15"/>
        <v>0</v>
      </c>
      <c r="T26" s="246">
        <f t="shared" si="15"/>
        <v>0</v>
      </c>
      <c r="U26" s="181">
        <f t="shared" si="15"/>
        <v>0</v>
      </c>
      <c r="V26" s="181">
        <f t="shared" si="15"/>
        <v>0</v>
      </c>
      <c r="W26" s="181">
        <f t="shared" si="15"/>
        <v>0</v>
      </c>
      <c r="X26" s="181">
        <f t="shared" ref="X26:X32" si="16">IFERROR(IF(O26=0,0,O26*($F26/($E26*24))*$G26*$H26/2000),"--")</f>
        <v>0</v>
      </c>
      <c r="Y26" s="181">
        <f t="shared" ref="Y26:Y32" si="17">IF(P26=0,0,P26*($F26/($E26*24))*$G26*$H26/2000)</f>
        <v>0</v>
      </c>
      <c r="Z26" s="182">
        <f t="shared" ref="Z26:Z32" si="18">IFERROR(IF(Q26=0,0,Q26*($F26/($E26*24))*$G26*$H26/2000),"--")</f>
        <v>0</v>
      </c>
      <c r="AA26" s="256"/>
      <c r="AB26" s="256"/>
      <c r="AC26" s="256"/>
      <c r="AD26" s="256"/>
      <c r="AE26" s="256"/>
      <c r="AF26" s="256"/>
      <c r="AG26" s="256"/>
      <c r="AH26" s="256"/>
      <c r="AI26" s="256"/>
      <c r="AJ26" s="256"/>
      <c r="AK26" s="256"/>
      <c r="AL26" s="256"/>
      <c r="AM26" s="256"/>
      <c r="AN26" s="256"/>
      <c r="AO26" s="256"/>
      <c r="AP26" s="256"/>
      <c r="AQ26" s="256"/>
      <c r="AR26" s="256"/>
    </row>
    <row r="27" spans="1:44" s="183" customFormat="1" x14ac:dyDescent="0.2">
      <c r="A27" s="174"/>
      <c r="B27" s="175" t="s">
        <v>115</v>
      </c>
      <c r="C27" s="175"/>
      <c r="D27" s="176">
        <v>0</v>
      </c>
      <c r="E27" s="177">
        <f>FACTORS!$I$2*D27</f>
        <v>0</v>
      </c>
      <c r="F27" s="178">
        <f t="shared" si="14"/>
        <v>0</v>
      </c>
      <c r="G27" s="176">
        <v>0</v>
      </c>
      <c r="H27" s="180">
        <v>0</v>
      </c>
      <c r="I27" s="184">
        <f>FACTORS!$C$17*D27/453.592</f>
        <v>0</v>
      </c>
      <c r="J27" s="181">
        <f>FACTORS!$D$17*D27/453.592</f>
        <v>0</v>
      </c>
      <c r="K27" s="246">
        <f>FACTORS!$E$17*D27/453.592</f>
        <v>0</v>
      </c>
      <c r="L27" s="181">
        <f>FACTORS!$F$17*D27/453.592</f>
        <v>0</v>
      </c>
      <c r="M27" s="181">
        <f>FACTORS!$G$17*D27/453.592</f>
        <v>0</v>
      </c>
      <c r="N27" s="178">
        <f>FACTORS!$H$17*D27/453.592</f>
        <v>0</v>
      </c>
      <c r="O27" s="181">
        <f>FACTORS!$I$17*D27/453.592</f>
        <v>0</v>
      </c>
      <c r="P27" s="181">
        <f>FACTORS!$J$17*D27/453.592</f>
        <v>0</v>
      </c>
      <c r="Q27" s="191">
        <f>FACTORS!$K$17*D27/453.592</f>
        <v>0</v>
      </c>
      <c r="R27" s="184">
        <f t="shared" si="15"/>
        <v>0</v>
      </c>
      <c r="S27" s="181">
        <f t="shared" si="15"/>
        <v>0</v>
      </c>
      <c r="T27" s="181">
        <f t="shared" si="15"/>
        <v>0</v>
      </c>
      <c r="U27" s="181">
        <f t="shared" si="15"/>
        <v>0</v>
      </c>
      <c r="V27" s="181">
        <f t="shared" si="15"/>
        <v>0</v>
      </c>
      <c r="W27" s="181">
        <f t="shared" si="15"/>
        <v>0</v>
      </c>
      <c r="X27" s="181">
        <f t="shared" si="16"/>
        <v>0</v>
      </c>
      <c r="Y27" s="181">
        <f t="shared" si="17"/>
        <v>0</v>
      </c>
      <c r="Z27" s="182">
        <f t="shared" si="18"/>
        <v>0</v>
      </c>
      <c r="AA27" s="256"/>
      <c r="AB27" s="256"/>
      <c r="AC27" s="256"/>
      <c r="AD27" s="256"/>
      <c r="AE27" s="256"/>
      <c r="AF27" s="256"/>
      <c r="AG27" s="256"/>
      <c r="AH27" s="256"/>
      <c r="AI27" s="256"/>
      <c r="AJ27" s="256"/>
      <c r="AK27" s="256"/>
      <c r="AL27" s="256"/>
      <c r="AM27" s="256"/>
      <c r="AN27" s="256"/>
      <c r="AO27" s="256"/>
      <c r="AP27" s="256"/>
      <c r="AQ27" s="256"/>
      <c r="AR27" s="256"/>
    </row>
    <row r="28" spans="1:44" s="183" customFormat="1" x14ac:dyDescent="0.2">
      <c r="A28" s="174"/>
      <c r="B28" s="175" t="s">
        <v>116</v>
      </c>
      <c r="C28" s="175"/>
      <c r="D28" s="176">
        <v>0</v>
      </c>
      <c r="E28" s="177">
        <f>FACTORS!$I$2*D28</f>
        <v>0</v>
      </c>
      <c r="F28" s="178">
        <f t="shared" si="14"/>
        <v>0</v>
      </c>
      <c r="G28" s="176">
        <v>0</v>
      </c>
      <c r="H28" s="180">
        <v>0</v>
      </c>
      <c r="I28" s="184">
        <f>FACTORS!$C$17*D28/453.592</f>
        <v>0</v>
      </c>
      <c r="J28" s="181">
        <f>FACTORS!$D$17*D28/453.592</f>
        <v>0</v>
      </c>
      <c r="K28" s="246">
        <f>FACTORS!$E$17*D28/453.592</f>
        <v>0</v>
      </c>
      <c r="L28" s="181">
        <f>FACTORS!$F$17*D28/453.592</f>
        <v>0</v>
      </c>
      <c r="M28" s="181">
        <f>FACTORS!$G$17*D28/453.592</f>
        <v>0</v>
      </c>
      <c r="N28" s="178">
        <f>FACTORS!$H$17*D28/453.592</f>
        <v>0</v>
      </c>
      <c r="O28" s="181">
        <f>FACTORS!$I$17*D28/453.592</f>
        <v>0</v>
      </c>
      <c r="P28" s="181">
        <f>FACTORS!$J$17*D28/453.592</f>
        <v>0</v>
      </c>
      <c r="Q28" s="191">
        <f>FACTORS!$K$17*D28/453.592</f>
        <v>0</v>
      </c>
      <c r="R28" s="184">
        <f t="shared" si="15"/>
        <v>0</v>
      </c>
      <c r="S28" s="181">
        <f t="shared" si="15"/>
        <v>0</v>
      </c>
      <c r="T28" s="181">
        <f t="shared" si="15"/>
        <v>0</v>
      </c>
      <c r="U28" s="181">
        <f t="shared" si="15"/>
        <v>0</v>
      </c>
      <c r="V28" s="181">
        <f t="shared" si="15"/>
        <v>0</v>
      </c>
      <c r="W28" s="181">
        <f t="shared" si="15"/>
        <v>0</v>
      </c>
      <c r="X28" s="181">
        <f t="shared" si="16"/>
        <v>0</v>
      </c>
      <c r="Y28" s="181">
        <f t="shared" si="17"/>
        <v>0</v>
      </c>
      <c r="Z28" s="182">
        <f t="shared" si="18"/>
        <v>0</v>
      </c>
      <c r="AA28" s="256"/>
      <c r="AB28" s="256"/>
      <c r="AC28" s="256"/>
      <c r="AD28" s="256"/>
      <c r="AE28" s="256"/>
      <c r="AF28" s="256"/>
      <c r="AG28" s="256"/>
      <c r="AH28" s="256"/>
      <c r="AI28" s="256"/>
      <c r="AJ28" s="256"/>
      <c r="AK28" s="256"/>
      <c r="AL28" s="256"/>
      <c r="AM28" s="256"/>
      <c r="AN28" s="256"/>
      <c r="AO28" s="256"/>
      <c r="AP28" s="256"/>
      <c r="AQ28" s="256"/>
      <c r="AR28" s="256"/>
    </row>
    <row r="29" spans="1:44" s="183" customFormat="1" ht="12.75" customHeight="1" x14ac:dyDescent="0.2">
      <c r="A29" s="174" t="s">
        <v>63</v>
      </c>
      <c r="B29" s="175" t="s">
        <v>118</v>
      </c>
      <c r="C29" s="175"/>
      <c r="D29" s="176">
        <v>0</v>
      </c>
      <c r="E29" s="177">
        <f>FACTORS!$I$2*D29</f>
        <v>0</v>
      </c>
      <c r="F29" s="178">
        <f t="shared" si="14"/>
        <v>0</v>
      </c>
      <c r="G29" s="179">
        <v>0</v>
      </c>
      <c r="H29" s="180">
        <v>0</v>
      </c>
      <c r="I29" s="184">
        <f>FACTORS!$C$17*D29/453.592</f>
        <v>0</v>
      </c>
      <c r="J29" s="181">
        <f>FACTORS!$D$17*D29/453.592</f>
        <v>0</v>
      </c>
      <c r="K29" s="246">
        <f>FACTORS!$E$17*D29/453.592</f>
        <v>0</v>
      </c>
      <c r="L29" s="181">
        <f>FACTORS!$F$17*D29/453.592</f>
        <v>0</v>
      </c>
      <c r="M29" s="181">
        <f>FACTORS!$G$17*D29/453.592</f>
        <v>0</v>
      </c>
      <c r="N29" s="178">
        <f>FACTORS!$H$17*D29/453.592</f>
        <v>0</v>
      </c>
      <c r="O29" s="181">
        <f>FACTORS!$I$17*D29/453.592</f>
        <v>0</v>
      </c>
      <c r="P29" s="181">
        <f>FACTORS!$J$17*D29/453.592</f>
        <v>0</v>
      </c>
      <c r="Q29" s="191">
        <f>FACTORS!$K$17*D29/453.592</f>
        <v>0</v>
      </c>
      <c r="R29" s="184">
        <f t="shared" si="15"/>
        <v>0</v>
      </c>
      <c r="S29" s="181">
        <f t="shared" si="15"/>
        <v>0</v>
      </c>
      <c r="T29" s="181">
        <f t="shared" si="15"/>
        <v>0</v>
      </c>
      <c r="U29" s="181">
        <f t="shared" si="15"/>
        <v>0</v>
      </c>
      <c r="V29" s="181">
        <f t="shared" si="15"/>
        <v>0</v>
      </c>
      <c r="W29" s="181">
        <f t="shared" si="15"/>
        <v>0</v>
      </c>
      <c r="X29" s="181">
        <f t="shared" si="16"/>
        <v>0</v>
      </c>
      <c r="Y29" s="181">
        <f t="shared" si="17"/>
        <v>0</v>
      </c>
      <c r="Z29" s="182">
        <f t="shared" si="18"/>
        <v>0</v>
      </c>
      <c r="AA29" s="256"/>
      <c r="AB29" s="256"/>
      <c r="AC29" s="256"/>
      <c r="AD29" s="256"/>
      <c r="AE29" s="256"/>
      <c r="AF29" s="256"/>
      <c r="AG29" s="256"/>
      <c r="AH29" s="256"/>
      <c r="AI29" s="256"/>
      <c r="AJ29" s="256"/>
      <c r="AK29" s="256"/>
      <c r="AL29" s="256"/>
      <c r="AM29" s="256"/>
      <c r="AN29" s="256"/>
      <c r="AO29" s="256"/>
      <c r="AP29" s="256"/>
      <c r="AQ29" s="256"/>
      <c r="AR29" s="256"/>
    </row>
    <row r="30" spans="1:44" s="183" customFormat="1" ht="12.75" customHeight="1" x14ac:dyDescent="0.2">
      <c r="A30" s="174" t="s">
        <v>62</v>
      </c>
      <c r="B30" s="175" t="s">
        <v>117</v>
      </c>
      <c r="C30" s="175"/>
      <c r="D30" s="176">
        <v>0</v>
      </c>
      <c r="E30" s="177">
        <f>FACTORS!$I$2*D30</f>
        <v>0</v>
      </c>
      <c r="F30" s="178">
        <f t="shared" si="14"/>
        <v>0</v>
      </c>
      <c r="G30" s="179">
        <v>0</v>
      </c>
      <c r="H30" s="180">
        <v>0</v>
      </c>
      <c r="I30" s="184">
        <f>FACTORS!$C$17*D30/453.592</f>
        <v>0</v>
      </c>
      <c r="J30" s="181">
        <f>FACTORS!$D$17*D30/453.592</f>
        <v>0</v>
      </c>
      <c r="K30" s="246">
        <f>FACTORS!$E$17*D30/453.592</f>
        <v>0</v>
      </c>
      <c r="L30" s="181">
        <f>FACTORS!$F$17*D30/453.592</f>
        <v>0</v>
      </c>
      <c r="M30" s="181">
        <f>FACTORS!$G$17*D30/453.592</f>
        <v>0</v>
      </c>
      <c r="N30" s="178">
        <f>FACTORS!$H$17*D30/453.592</f>
        <v>0</v>
      </c>
      <c r="O30" s="181">
        <f>FACTORS!$I$17*D30/453.592</f>
        <v>0</v>
      </c>
      <c r="P30" s="181">
        <f>FACTORS!$J$17*D30/453.592</f>
        <v>0</v>
      </c>
      <c r="Q30" s="191">
        <f>FACTORS!$K$17*D30/453.592</f>
        <v>0</v>
      </c>
      <c r="R30" s="184">
        <f t="shared" si="15"/>
        <v>0</v>
      </c>
      <c r="S30" s="181">
        <f t="shared" si="15"/>
        <v>0</v>
      </c>
      <c r="T30" s="181">
        <f t="shared" si="15"/>
        <v>0</v>
      </c>
      <c r="U30" s="181">
        <f t="shared" si="15"/>
        <v>0</v>
      </c>
      <c r="V30" s="181">
        <f t="shared" si="15"/>
        <v>0</v>
      </c>
      <c r="W30" s="181">
        <f t="shared" si="15"/>
        <v>0</v>
      </c>
      <c r="X30" s="181">
        <f t="shared" si="16"/>
        <v>0</v>
      </c>
      <c r="Y30" s="181">
        <f t="shared" si="17"/>
        <v>0</v>
      </c>
      <c r="Z30" s="182">
        <f t="shared" si="18"/>
        <v>0</v>
      </c>
      <c r="AA30" s="256"/>
      <c r="AB30" s="256"/>
      <c r="AC30" s="256"/>
      <c r="AD30" s="256"/>
      <c r="AE30" s="256"/>
      <c r="AF30" s="256"/>
      <c r="AG30" s="256"/>
      <c r="AH30" s="256"/>
      <c r="AI30" s="256"/>
      <c r="AJ30" s="256"/>
      <c r="AK30" s="256"/>
      <c r="AL30" s="256"/>
      <c r="AM30" s="256"/>
      <c r="AN30" s="256"/>
      <c r="AO30" s="256"/>
      <c r="AP30" s="256"/>
      <c r="AQ30" s="256"/>
      <c r="AR30" s="256"/>
    </row>
    <row r="31" spans="1:44" s="183" customFormat="1" x14ac:dyDescent="0.2">
      <c r="A31" s="174"/>
      <c r="B31" s="175" t="s">
        <v>115</v>
      </c>
      <c r="C31" s="175"/>
      <c r="D31" s="176">
        <v>0</v>
      </c>
      <c r="E31" s="177">
        <f>FACTORS!$I$2*D31</f>
        <v>0</v>
      </c>
      <c r="F31" s="178">
        <f t="shared" si="14"/>
        <v>0</v>
      </c>
      <c r="G31" s="176">
        <v>0</v>
      </c>
      <c r="H31" s="180">
        <v>0</v>
      </c>
      <c r="I31" s="184">
        <f>FACTORS!$C$17*D31/453.592</f>
        <v>0</v>
      </c>
      <c r="J31" s="181">
        <f>FACTORS!$D$17*D31/453.592</f>
        <v>0</v>
      </c>
      <c r="K31" s="246">
        <f>FACTORS!$E$17*D31/453.592</f>
        <v>0</v>
      </c>
      <c r="L31" s="181">
        <f>FACTORS!$F$17*D31/453.592</f>
        <v>0</v>
      </c>
      <c r="M31" s="181">
        <f>FACTORS!$G$17*D31/453.592</f>
        <v>0</v>
      </c>
      <c r="N31" s="178">
        <f>FACTORS!$H$17*D31/453.592</f>
        <v>0</v>
      </c>
      <c r="O31" s="181">
        <f>FACTORS!$I$17*D31/453.592</f>
        <v>0</v>
      </c>
      <c r="P31" s="181">
        <f>FACTORS!$J$17*D31/453.592</f>
        <v>0</v>
      </c>
      <c r="Q31" s="191">
        <f>FACTORS!$K$17*D31/453.592</f>
        <v>0</v>
      </c>
      <c r="R31" s="184">
        <f t="shared" si="15"/>
        <v>0</v>
      </c>
      <c r="S31" s="181">
        <f t="shared" si="15"/>
        <v>0</v>
      </c>
      <c r="T31" s="181">
        <f t="shared" si="15"/>
        <v>0</v>
      </c>
      <c r="U31" s="181">
        <f t="shared" si="15"/>
        <v>0</v>
      </c>
      <c r="V31" s="181">
        <f t="shared" si="15"/>
        <v>0</v>
      </c>
      <c r="W31" s="181">
        <f t="shared" si="15"/>
        <v>0</v>
      </c>
      <c r="X31" s="181">
        <f t="shared" si="16"/>
        <v>0</v>
      </c>
      <c r="Y31" s="181">
        <f t="shared" si="17"/>
        <v>0</v>
      </c>
      <c r="Z31" s="182">
        <f t="shared" si="18"/>
        <v>0</v>
      </c>
      <c r="AA31" s="256"/>
      <c r="AB31" s="256"/>
      <c r="AC31" s="256"/>
      <c r="AD31" s="256"/>
      <c r="AE31" s="256"/>
      <c r="AF31" s="256"/>
      <c r="AG31" s="256"/>
      <c r="AH31" s="256"/>
      <c r="AI31" s="256"/>
      <c r="AJ31" s="256"/>
      <c r="AK31" s="256"/>
      <c r="AL31" s="256"/>
      <c r="AM31" s="256"/>
      <c r="AN31" s="256"/>
      <c r="AO31" s="256"/>
      <c r="AP31" s="256"/>
      <c r="AQ31" s="256"/>
      <c r="AR31" s="256"/>
    </row>
    <row r="32" spans="1:44" s="183" customFormat="1" ht="12.75" customHeight="1" x14ac:dyDescent="0.2">
      <c r="A32" s="339" t="s">
        <v>64</v>
      </c>
      <c r="B32" s="340" t="s">
        <v>119</v>
      </c>
      <c r="C32" s="340"/>
      <c r="D32" s="341">
        <v>0</v>
      </c>
      <c r="E32" s="342">
        <f>FACTORS!$I$2*D32</f>
        <v>0</v>
      </c>
      <c r="F32" s="343">
        <f t="shared" si="14"/>
        <v>0</v>
      </c>
      <c r="G32" s="344">
        <v>0</v>
      </c>
      <c r="H32" s="345">
        <v>0</v>
      </c>
      <c r="I32" s="346">
        <f>FACTORS!$C$17*D32/453.592</f>
        <v>0</v>
      </c>
      <c r="J32" s="347">
        <f>FACTORS!$D$17*D32/453.592</f>
        <v>0</v>
      </c>
      <c r="K32" s="427">
        <f>FACTORS!$E$17*D32/453.592</f>
        <v>0</v>
      </c>
      <c r="L32" s="347">
        <f>FACTORS!$F$17*D32/453.592</f>
        <v>0</v>
      </c>
      <c r="M32" s="347">
        <f>FACTORS!$G$17*D32/453.592</f>
        <v>0</v>
      </c>
      <c r="N32" s="343">
        <f>FACTORS!$H$17*D32/453.592</f>
        <v>0</v>
      </c>
      <c r="O32" s="347">
        <f>FACTORS!$I$17*D32/453.592</f>
        <v>0</v>
      </c>
      <c r="P32" s="347">
        <f>FACTORS!$J$17*D32/453.592</f>
        <v>0</v>
      </c>
      <c r="Q32" s="348">
        <f>FACTORS!$K$17*D32/453.592</f>
        <v>0</v>
      </c>
      <c r="R32" s="346">
        <f t="shared" si="15"/>
        <v>0</v>
      </c>
      <c r="S32" s="347">
        <f t="shared" si="15"/>
        <v>0</v>
      </c>
      <c r="T32" s="347">
        <f>IF(K32=0,0,K32*($F32/($E32*24))*$G32*$H32/2000)</f>
        <v>0</v>
      </c>
      <c r="U32" s="347">
        <f t="shared" si="15"/>
        <v>0</v>
      </c>
      <c r="V32" s="347">
        <f t="shared" si="15"/>
        <v>0</v>
      </c>
      <c r="W32" s="347">
        <f t="shared" si="15"/>
        <v>0</v>
      </c>
      <c r="X32" s="347">
        <f t="shared" si="16"/>
        <v>0</v>
      </c>
      <c r="Y32" s="347">
        <f t="shared" si="17"/>
        <v>0</v>
      </c>
      <c r="Z32" s="349">
        <f t="shared" si="18"/>
        <v>0</v>
      </c>
      <c r="AA32" s="256"/>
      <c r="AB32" s="256"/>
      <c r="AC32" s="256"/>
      <c r="AD32" s="256"/>
      <c r="AE32" s="256"/>
      <c r="AF32" s="256"/>
      <c r="AG32" s="256"/>
      <c r="AH32" s="256"/>
      <c r="AI32" s="256"/>
      <c r="AJ32" s="256"/>
      <c r="AK32" s="256"/>
      <c r="AL32" s="256"/>
      <c r="AM32" s="256"/>
      <c r="AN32" s="256"/>
      <c r="AO32" s="256"/>
      <c r="AP32" s="256"/>
      <c r="AQ32" s="256"/>
      <c r="AR32" s="256"/>
    </row>
    <row r="33" spans="1:44" ht="27.75" customHeight="1" x14ac:dyDescent="0.2">
      <c r="A33" s="361" t="s">
        <v>184</v>
      </c>
      <c r="B33" s="363" t="s">
        <v>107</v>
      </c>
      <c r="C33" s="111"/>
      <c r="D33" s="122"/>
      <c r="E33" s="42" t="s">
        <v>53</v>
      </c>
      <c r="F33" s="43" t="s">
        <v>54</v>
      </c>
      <c r="G33" s="50"/>
      <c r="H33" s="119"/>
      <c r="I33" s="158"/>
      <c r="J33" s="387"/>
      <c r="K33" s="416"/>
      <c r="L33" s="153"/>
      <c r="M33" s="153"/>
      <c r="N33" s="73"/>
      <c r="O33" s="153"/>
      <c r="P33" s="153"/>
      <c r="Q33" s="120"/>
      <c r="R33" s="158"/>
      <c r="S33" s="387"/>
      <c r="T33" s="387"/>
      <c r="U33" s="153"/>
      <c r="V33" s="153"/>
      <c r="W33" s="153"/>
      <c r="X33" s="153"/>
      <c r="Y33" s="153"/>
      <c r="Z33" s="322"/>
    </row>
    <row r="34" spans="1:44" ht="12.75" customHeight="1" x14ac:dyDescent="0.2">
      <c r="A34" s="330"/>
      <c r="B34" s="364" t="s">
        <v>148</v>
      </c>
      <c r="C34" s="333"/>
      <c r="D34" s="334" t="s">
        <v>132</v>
      </c>
      <c r="E34" s="74"/>
      <c r="F34" s="74"/>
      <c r="G34" s="335"/>
      <c r="H34" s="336"/>
      <c r="I34" s="337"/>
      <c r="J34" s="423"/>
      <c r="K34" s="424"/>
      <c r="L34" s="68"/>
      <c r="M34" s="68"/>
      <c r="N34" s="329"/>
      <c r="O34" s="68"/>
      <c r="P34" s="68"/>
      <c r="Q34" s="338"/>
      <c r="R34" s="337"/>
      <c r="S34" s="423"/>
      <c r="T34" s="423"/>
      <c r="U34" s="68"/>
      <c r="V34" s="68"/>
      <c r="W34" s="68"/>
      <c r="X34" s="68"/>
      <c r="Y34" s="68"/>
      <c r="Z34" s="69"/>
    </row>
    <row r="35" spans="1:44" ht="12.75" customHeight="1" x14ac:dyDescent="0.2">
      <c r="A35" s="330"/>
      <c r="B35" s="363" t="s">
        <v>160</v>
      </c>
      <c r="C35" s="157"/>
      <c r="D35" s="122" t="s">
        <v>100</v>
      </c>
      <c r="E35" s="74"/>
      <c r="F35" s="74"/>
      <c r="G35" s="70" t="s">
        <v>60</v>
      </c>
      <c r="H35" s="119" t="s">
        <v>71</v>
      </c>
      <c r="I35" s="158"/>
      <c r="J35" s="387"/>
      <c r="K35" s="416"/>
      <c r="L35" s="153"/>
      <c r="M35" s="153"/>
      <c r="N35" s="73"/>
      <c r="O35" s="153"/>
      <c r="P35" s="153"/>
      <c r="Q35" s="120"/>
      <c r="R35" s="319"/>
      <c r="S35" s="423"/>
      <c r="T35" s="424"/>
      <c r="U35" s="68"/>
      <c r="V35" s="68"/>
      <c r="W35" s="68"/>
      <c r="X35" s="68"/>
      <c r="Y35" s="68"/>
      <c r="Z35" s="69"/>
    </row>
    <row r="36" spans="1:44" s="183" customFormat="1" ht="12.75" customHeight="1" x14ac:dyDescent="0.2">
      <c r="A36" s="174"/>
      <c r="B36" s="242" t="s">
        <v>153</v>
      </c>
      <c r="C36" s="323"/>
      <c r="D36" s="244"/>
      <c r="E36" s="176">
        <v>0</v>
      </c>
      <c r="F36" s="245">
        <f>E36*24</f>
        <v>0</v>
      </c>
      <c r="G36" s="176">
        <v>0</v>
      </c>
      <c r="H36" s="180">
        <v>0</v>
      </c>
      <c r="I36" s="184">
        <f>IFERROR(FACTORS!$C$34*E36,"--")</f>
        <v>0</v>
      </c>
      <c r="J36" s="181">
        <f>IFERROR(FACTORS!$D$34*E36,"--")</f>
        <v>0</v>
      </c>
      <c r="K36" s="246">
        <f>IFERROR(FACTORS!$E$34*E36,"--")</f>
        <v>0</v>
      </c>
      <c r="L36" s="178">
        <f>IFERROR(FACTORS!$F$34*E36,"--")</f>
        <v>0</v>
      </c>
      <c r="M36" s="178">
        <f>IFERROR(FACTORS!$G$34*E36,"--")</f>
        <v>0</v>
      </c>
      <c r="N36" s="178">
        <f>IFERROR(FACTORS!$H$34*E36,"--")</f>
        <v>0</v>
      </c>
      <c r="O36" s="181" t="str">
        <f>IFERROR(FACTORS!$I$34*E36,"--")</f>
        <v>--</v>
      </c>
      <c r="P36" s="181">
        <f>IFERROR(FACTORS!$J$34*E36,"--")</f>
        <v>0</v>
      </c>
      <c r="Q36" s="191">
        <f>IFERROR(FACTORS!$K$34*E36,"--")</f>
        <v>0</v>
      </c>
      <c r="R36" s="331">
        <f t="shared" ref="R36:S42" si="19">IFERROR((I36*$G36*$H36)/2000, "")</f>
        <v>0</v>
      </c>
      <c r="S36" s="332">
        <f>IFERROR((J36*$G36*$H36)/2000, "")</f>
        <v>0</v>
      </c>
      <c r="T36" s="317">
        <f t="shared" ref="T36:W43" si="20">IFERROR((K36*$G36*$H36)/2000, "")</f>
        <v>0</v>
      </c>
      <c r="U36" s="317">
        <f t="shared" si="20"/>
        <v>0</v>
      </c>
      <c r="V36" s="317">
        <f t="shared" si="20"/>
        <v>0</v>
      </c>
      <c r="W36" s="317">
        <f t="shared" si="20"/>
        <v>0</v>
      </c>
      <c r="X36" s="317" t="str">
        <f t="shared" ref="X36:X43" si="21">IFERROR((O36*$G36*$H36)/2000, "--")</f>
        <v>--</v>
      </c>
      <c r="Y36" s="317">
        <f t="shared" ref="Y36:Z43" si="22">IFERROR((P36*$G36*$H36)/2000, "")</f>
        <v>0</v>
      </c>
      <c r="Z36" s="318">
        <f t="shared" si="22"/>
        <v>0</v>
      </c>
      <c r="AA36" s="256"/>
      <c r="AB36" s="256"/>
      <c r="AC36" s="256"/>
      <c r="AD36" s="256"/>
      <c r="AE36" s="256"/>
      <c r="AF36" s="256"/>
      <c r="AG36" s="256"/>
      <c r="AH36" s="256"/>
      <c r="AI36" s="256"/>
      <c r="AJ36" s="256"/>
      <c r="AK36" s="256"/>
      <c r="AL36" s="256"/>
      <c r="AM36" s="256"/>
      <c r="AN36" s="256"/>
      <c r="AO36" s="256"/>
      <c r="AP36" s="256"/>
      <c r="AQ36" s="256"/>
      <c r="AR36" s="256"/>
    </row>
    <row r="37" spans="1:44" s="183" customFormat="1" ht="12.75" customHeight="1" x14ac:dyDescent="0.2">
      <c r="A37" s="174"/>
      <c r="B37" s="242" t="s">
        <v>87</v>
      </c>
      <c r="C37" s="243"/>
      <c r="D37" s="244"/>
      <c r="E37" s="176">
        <v>0</v>
      </c>
      <c r="F37" s="245">
        <f>E37*24</f>
        <v>0</v>
      </c>
      <c r="G37" s="176">
        <v>0</v>
      </c>
      <c r="H37" s="180">
        <v>0</v>
      </c>
      <c r="I37" s="184">
        <f>IFERROR(FACTORS!$C$35*E37,"--")</f>
        <v>0</v>
      </c>
      <c r="J37" s="181">
        <f>IFERROR(FACTORS!$D$35*E37,"--")</f>
        <v>0</v>
      </c>
      <c r="K37" s="246">
        <f>IFERROR(FACTORS!$E$35*E37,"--")</f>
        <v>0</v>
      </c>
      <c r="L37" s="178">
        <f>IFERROR(FACTORS!$F$35*E37,"--")</f>
        <v>0</v>
      </c>
      <c r="M37" s="178">
        <f>IFERROR(FACTORS!$G$35*E37,"--")</f>
        <v>0</v>
      </c>
      <c r="N37" s="178">
        <f>IFERROR(FACTORS!$H$35*E37,"--")</f>
        <v>0</v>
      </c>
      <c r="O37" s="181" t="str">
        <f>IFERROR(FACTORS!$I$35*E37,"--")</f>
        <v>--</v>
      </c>
      <c r="P37" s="181">
        <f>IFERROR(FACTORS!$J$35*E37,"--")</f>
        <v>0</v>
      </c>
      <c r="Q37" s="191">
        <f>IFERROR(FACTORS!$K$35*E37,"--")</f>
        <v>0</v>
      </c>
      <c r="R37" s="184">
        <f t="shared" si="19"/>
        <v>0</v>
      </c>
      <c r="S37" s="181">
        <f t="shared" si="19"/>
        <v>0</v>
      </c>
      <c r="T37" s="246">
        <f t="shared" si="20"/>
        <v>0</v>
      </c>
      <c r="U37" s="246">
        <f t="shared" si="20"/>
        <v>0</v>
      </c>
      <c r="V37" s="246">
        <f t="shared" si="20"/>
        <v>0</v>
      </c>
      <c r="W37" s="246">
        <f t="shared" si="20"/>
        <v>0</v>
      </c>
      <c r="X37" s="246" t="str">
        <f t="shared" si="21"/>
        <v>--</v>
      </c>
      <c r="Y37" s="246">
        <f t="shared" si="22"/>
        <v>0</v>
      </c>
      <c r="Z37" s="182">
        <f t="shared" si="22"/>
        <v>0</v>
      </c>
      <c r="AA37" s="256"/>
      <c r="AB37" s="256"/>
      <c r="AC37" s="256"/>
      <c r="AD37" s="256"/>
      <c r="AE37" s="256"/>
      <c r="AF37" s="256"/>
      <c r="AG37" s="256"/>
      <c r="AH37" s="256"/>
      <c r="AI37" s="256"/>
      <c r="AJ37" s="256"/>
      <c r="AK37" s="256"/>
      <c r="AL37" s="256"/>
      <c r="AM37" s="256"/>
      <c r="AN37" s="256"/>
      <c r="AO37" s="256"/>
      <c r="AP37" s="256"/>
      <c r="AQ37" s="256"/>
      <c r="AR37" s="256"/>
    </row>
    <row r="38" spans="1:44" s="183" customFormat="1" ht="12.75" customHeight="1" x14ac:dyDescent="0.2">
      <c r="A38" s="174"/>
      <c r="B38" s="242" t="s">
        <v>102</v>
      </c>
      <c r="C38" s="243"/>
      <c r="D38" s="244"/>
      <c r="E38" s="176">
        <v>0</v>
      </c>
      <c r="F38" s="245">
        <f t="shared" ref="F38:F41" si="23">E38*24</f>
        <v>0</v>
      </c>
      <c r="G38" s="176">
        <v>0</v>
      </c>
      <c r="H38" s="180">
        <v>0</v>
      </c>
      <c r="I38" s="184">
        <f>IFERROR(FACTORS!$C$36*E38,"--")</f>
        <v>0</v>
      </c>
      <c r="J38" s="181">
        <f>IFERROR(FACTORS!$D$36*E38,"--")</f>
        <v>0</v>
      </c>
      <c r="K38" s="246">
        <f>IFERROR(FACTORS!$E$36*E38,"--")</f>
        <v>0</v>
      </c>
      <c r="L38" s="178">
        <f>IFERROR(FACTORS!$F$36*E38,"--")</f>
        <v>0</v>
      </c>
      <c r="M38" s="178">
        <f>IFERROR(FACTORS!$G$36*E38,"--")</f>
        <v>0</v>
      </c>
      <c r="N38" s="178">
        <f>IFERROR(FACTORS!$H$36*E38,"--")</f>
        <v>0</v>
      </c>
      <c r="O38" s="181" t="str">
        <f>IFERROR(FACTORS!$I$36*E38,"--")</f>
        <v>--</v>
      </c>
      <c r="P38" s="181">
        <f>IFERROR(FACTORS!$J$36*E38,"--")</f>
        <v>0</v>
      </c>
      <c r="Q38" s="191">
        <f>IFERROR(FACTORS!$K$36*E38,"--")</f>
        <v>0</v>
      </c>
      <c r="R38" s="184">
        <f t="shared" si="19"/>
        <v>0</v>
      </c>
      <c r="S38" s="181">
        <f t="shared" si="19"/>
        <v>0</v>
      </c>
      <c r="T38" s="246">
        <f t="shared" si="20"/>
        <v>0</v>
      </c>
      <c r="U38" s="246">
        <f t="shared" si="20"/>
        <v>0</v>
      </c>
      <c r="V38" s="246">
        <f t="shared" si="20"/>
        <v>0</v>
      </c>
      <c r="W38" s="246">
        <f t="shared" si="20"/>
        <v>0</v>
      </c>
      <c r="X38" s="246" t="str">
        <f t="shared" si="21"/>
        <v>--</v>
      </c>
      <c r="Y38" s="246">
        <f t="shared" si="22"/>
        <v>0</v>
      </c>
      <c r="Z38" s="182">
        <f t="shared" si="22"/>
        <v>0</v>
      </c>
      <c r="AA38" s="256"/>
      <c r="AB38" s="256"/>
      <c r="AC38" s="256"/>
      <c r="AD38" s="256"/>
      <c r="AE38" s="256"/>
      <c r="AF38" s="256"/>
      <c r="AG38" s="256"/>
      <c r="AH38" s="256"/>
      <c r="AI38" s="256"/>
      <c r="AJ38" s="256"/>
      <c r="AK38" s="256"/>
      <c r="AL38" s="256"/>
      <c r="AM38" s="256"/>
      <c r="AN38" s="256"/>
      <c r="AO38" s="256"/>
      <c r="AP38" s="256"/>
      <c r="AQ38" s="256"/>
      <c r="AR38" s="256"/>
    </row>
    <row r="39" spans="1:44" s="183" customFormat="1" ht="12.75" customHeight="1" x14ac:dyDescent="0.2">
      <c r="A39" s="174"/>
      <c r="B39" s="242" t="s">
        <v>154</v>
      </c>
      <c r="C39" s="243"/>
      <c r="D39" s="244"/>
      <c r="E39" s="176">
        <v>0</v>
      </c>
      <c r="F39" s="245">
        <f t="shared" si="23"/>
        <v>0</v>
      </c>
      <c r="G39" s="176">
        <v>0</v>
      </c>
      <c r="H39" s="180">
        <v>0</v>
      </c>
      <c r="I39" s="184">
        <f>IFERROR(FACTORS!$C$37*E39,"--")</f>
        <v>0</v>
      </c>
      <c r="J39" s="181">
        <f>IFERROR(FACTORS!$D$37*E39,"--")</f>
        <v>0</v>
      </c>
      <c r="K39" s="246">
        <f>IFERROR(FACTORS!$E$37*E39,"--")</f>
        <v>0</v>
      </c>
      <c r="L39" s="178">
        <f>IFERROR(FACTORS!$F$37*E39,"--")</f>
        <v>0</v>
      </c>
      <c r="M39" s="178">
        <f>IFERROR(FACTORS!$G$37*E39,"--")</f>
        <v>0</v>
      </c>
      <c r="N39" s="178">
        <f>IFERROR(FACTORS!$H$37*E39,"--")</f>
        <v>0</v>
      </c>
      <c r="O39" s="181" t="str">
        <f>IFERROR(FACTORS!$I$37*E39,"--")</f>
        <v>--</v>
      </c>
      <c r="P39" s="181">
        <f>IFERROR(FACTORS!$J$37*E39,"--")</f>
        <v>0</v>
      </c>
      <c r="Q39" s="191">
        <f>IFERROR(FACTORS!$K$37*E39,"--")</f>
        <v>0</v>
      </c>
      <c r="R39" s="184">
        <f t="shared" si="19"/>
        <v>0</v>
      </c>
      <c r="S39" s="181">
        <f t="shared" si="19"/>
        <v>0</v>
      </c>
      <c r="T39" s="246">
        <f t="shared" si="20"/>
        <v>0</v>
      </c>
      <c r="U39" s="246">
        <f t="shared" si="20"/>
        <v>0</v>
      </c>
      <c r="V39" s="246">
        <f t="shared" si="20"/>
        <v>0</v>
      </c>
      <c r="W39" s="246">
        <f t="shared" si="20"/>
        <v>0</v>
      </c>
      <c r="X39" s="246" t="str">
        <f t="shared" si="21"/>
        <v>--</v>
      </c>
      <c r="Y39" s="246">
        <f t="shared" si="22"/>
        <v>0</v>
      </c>
      <c r="Z39" s="182">
        <f t="shared" si="22"/>
        <v>0</v>
      </c>
      <c r="AA39" s="256"/>
      <c r="AB39" s="256"/>
      <c r="AC39" s="256"/>
      <c r="AD39" s="256"/>
      <c r="AE39" s="256"/>
      <c r="AF39" s="256"/>
      <c r="AG39" s="256"/>
      <c r="AH39" s="256"/>
      <c r="AI39" s="256"/>
      <c r="AJ39" s="256"/>
      <c r="AK39" s="256"/>
      <c r="AL39" s="256"/>
      <c r="AM39" s="256"/>
      <c r="AN39" s="256"/>
      <c r="AO39" s="256"/>
      <c r="AP39" s="256"/>
      <c r="AQ39" s="256"/>
      <c r="AR39" s="256"/>
    </row>
    <row r="40" spans="1:44" s="183" customFormat="1" ht="12.75" customHeight="1" x14ac:dyDescent="0.2">
      <c r="A40" s="174"/>
      <c r="B40" s="242" t="s">
        <v>89</v>
      </c>
      <c r="C40" s="243"/>
      <c r="D40" s="244"/>
      <c r="E40" s="176">
        <v>0</v>
      </c>
      <c r="F40" s="245">
        <f t="shared" si="23"/>
        <v>0</v>
      </c>
      <c r="G40" s="176">
        <v>0</v>
      </c>
      <c r="H40" s="180">
        <v>0</v>
      </c>
      <c r="I40" s="184">
        <f>IFERROR(FACTORS!$C$38*E40,"--")</f>
        <v>0</v>
      </c>
      <c r="J40" s="181">
        <f>IFERROR(FACTORS!$D$38*E40,"--")</f>
        <v>0</v>
      </c>
      <c r="K40" s="246">
        <f>IFERROR(FACTORS!$E$38*E40,"--")</f>
        <v>0</v>
      </c>
      <c r="L40" s="178">
        <f>IFERROR(FACTORS!$F$38*E40,"--")</f>
        <v>0</v>
      </c>
      <c r="M40" s="178">
        <f>IFERROR(FACTORS!$G$38*E40,"--")</f>
        <v>0</v>
      </c>
      <c r="N40" s="178">
        <f>IFERROR(FACTORS!$H$38*E40,"--")</f>
        <v>0</v>
      </c>
      <c r="O40" s="181" t="str">
        <f>IFERROR(FACTORS!$I$38*E40,"--")</f>
        <v>--</v>
      </c>
      <c r="P40" s="181">
        <f>IFERROR(FACTORS!$J$38*E40,"--")</f>
        <v>0</v>
      </c>
      <c r="Q40" s="191">
        <f>IFERROR(FACTORS!$K$38*E40,"--")</f>
        <v>0</v>
      </c>
      <c r="R40" s="184">
        <f t="shared" si="19"/>
        <v>0</v>
      </c>
      <c r="S40" s="181">
        <f t="shared" si="19"/>
        <v>0</v>
      </c>
      <c r="T40" s="246">
        <f t="shared" si="20"/>
        <v>0</v>
      </c>
      <c r="U40" s="246">
        <f t="shared" si="20"/>
        <v>0</v>
      </c>
      <c r="V40" s="246">
        <f t="shared" si="20"/>
        <v>0</v>
      </c>
      <c r="W40" s="246">
        <f t="shared" si="20"/>
        <v>0</v>
      </c>
      <c r="X40" s="246" t="str">
        <f t="shared" si="21"/>
        <v>--</v>
      </c>
      <c r="Y40" s="246">
        <f t="shared" si="22"/>
        <v>0</v>
      </c>
      <c r="Z40" s="182">
        <f t="shared" si="22"/>
        <v>0</v>
      </c>
      <c r="AA40" s="256"/>
      <c r="AB40" s="256"/>
      <c r="AC40" s="256"/>
      <c r="AD40" s="256"/>
      <c r="AE40" s="256"/>
      <c r="AF40" s="256"/>
      <c r="AG40" s="256"/>
      <c r="AH40" s="256"/>
      <c r="AI40" s="256"/>
      <c r="AJ40" s="256"/>
      <c r="AK40" s="256"/>
      <c r="AL40" s="256"/>
      <c r="AM40" s="256"/>
      <c r="AN40" s="256"/>
      <c r="AO40" s="256"/>
      <c r="AP40" s="256"/>
      <c r="AQ40" s="256"/>
      <c r="AR40" s="256"/>
    </row>
    <row r="41" spans="1:44" s="183" customFormat="1" ht="12.75" customHeight="1" x14ac:dyDescent="0.2">
      <c r="A41" s="174"/>
      <c r="B41" s="242" t="s">
        <v>103</v>
      </c>
      <c r="C41" s="243"/>
      <c r="D41" s="244"/>
      <c r="E41" s="176">
        <v>0</v>
      </c>
      <c r="F41" s="245">
        <f t="shared" si="23"/>
        <v>0</v>
      </c>
      <c r="G41" s="176">
        <v>0</v>
      </c>
      <c r="H41" s="180">
        <v>0</v>
      </c>
      <c r="I41" s="184">
        <f>IFERROR(FACTORS!$C$39*E41,"--")</f>
        <v>0</v>
      </c>
      <c r="J41" s="181">
        <f>IFERROR(FACTORS!$D$39*E41,"--")</f>
        <v>0</v>
      </c>
      <c r="K41" s="246">
        <f>IFERROR(FACTORS!$E$39*E41,"--")</f>
        <v>0</v>
      </c>
      <c r="L41" s="178">
        <f>IFERROR(FACTORS!$F$39*E41,"--")</f>
        <v>0</v>
      </c>
      <c r="M41" s="178">
        <f>IFERROR(FACTORS!$G$39*E41,"--")</f>
        <v>0</v>
      </c>
      <c r="N41" s="178">
        <f>IFERROR(FACTORS!$H$39*E41,"--")</f>
        <v>0</v>
      </c>
      <c r="O41" s="181" t="str">
        <f>IFERROR(FACTORS!$I$39*E41,"--")</f>
        <v>--</v>
      </c>
      <c r="P41" s="181">
        <f>IFERROR(FACTORS!$J$39*E41,"--")</f>
        <v>0</v>
      </c>
      <c r="Q41" s="191">
        <f>IFERROR(FACTORS!$K$39*E41,"--")</f>
        <v>0</v>
      </c>
      <c r="R41" s="184">
        <f t="shared" si="19"/>
        <v>0</v>
      </c>
      <c r="S41" s="181">
        <f t="shared" si="19"/>
        <v>0</v>
      </c>
      <c r="T41" s="246">
        <f t="shared" si="20"/>
        <v>0</v>
      </c>
      <c r="U41" s="246">
        <f t="shared" si="20"/>
        <v>0</v>
      </c>
      <c r="V41" s="246">
        <f t="shared" si="20"/>
        <v>0</v>
      </c>
      <c r="W41" s="246">
        <f t="shared" si="20"/>
        <v>0</v>
      </c>
      <c r="X41" s="246" t="str">
        <f t="shared" si="21"/>
        <v>--</v>
      </c>
      <c r="Y41" s="246">
        <f t="shared" si="22"/>
        <v>0</v>
      </c>
      <c r="Z41" s="182">
        <f t="shared" si="22"/>
        <v>0</v>
      </c>
      <c r="AA41" s="256"/>
      <c r="AB41" s="256"/>
      <c r="AC41" s="256"/>
      <c r="AD41" s="256"/>
      <c r="AE41" s="256"/>
      <c r="AF41" s="256"/>
      <c r="AG41" s="256"/>
      <c r="AH41" s="256"/>
      <c r="AI41" s="256"/>
      <c r="AJ41" s="256"/>
      <c r="AK41" s="256"/>
      <c r="AL41" s="256"/>
      <c r="AM41" s="256"/>
      <c r="AN41" s="256"/>
      <c r="AO41" s="256"/>
      <c r="AP41" s="256"/>
      <c r="AQ41" s="256"/>
      <c r="AR41" s="256"/>
    </row>
    <row r="42" spans="1:44" s="183" customFormat="1" ht="12.75" customHeight="1" x14ac:dyDescent="0.2">
      <c r="A42" s="174"/>
      <c r="B42" s="242" t="s">
        <v>91</v>
      </c>
      <c r="C42" s="243"/>
      <c r="D42" s="176">
        <v>0</v>
      </c>
      <c r="E42" s="74"/>
      <c r="F42" s="74"/>
      <c r="G42" s="179">
        <v>0</v>
      </c>
      <c r="H42" s="180">
        <v>0</v>
      </c>
      <c r="I42" s="184">
        <f>(FACTORS!$C$40*D42*2000)/24</f>
        <v>0</v>
      </c>
      <c r="J42" s="181">
        <f>(FACTORS!$D$40*D42*2000)/24</f>
        <v>0</v>
      </c>
      <c r="K42" s="246">
        <f>(FACTORS!$E$40*D42*2000)/24</f>
        <v>0</v>
      </c>
      <c r="L42" s="178">
        <f>(FACTORS!$F$40*D42*2000)/24</f>
        <v>0</v>
      </c>
      <c r="M42" s="178">
        <f>(FACTORS!$G$40*D42*2000)/24</f>
        <v>0</v>
      </c>
      <c r="N42" s="178">
        <f>(FACTORS!$H$40*D42*2000)/24</f>
        <v>0</v>
      </c>
      <c r="O42" s="181" t="str">
        <f>IFERROR((FACTORS!$I$40*D42*2000)/24,"--")</f>
        <v>--</v>
      </c>
      <c r="P42" s="181">
        <f>IFERROR((FACTORS!$J$40*D42*2000)/24,"--")</f>
        <v>0</v>
      </c>
      <c r="Q42" s="191" t="str">
        <f>IFERROR((FACTORS!$K$40*D42*2000)/24,"--")</f>
        <v>--</v>
      </c>
      <c r="R42" s="184">
        <f t="shared" si="19"/>
        <v>0</v>
      </c>
      <c r="S42" s="181">
        <f t="shared" si="19"/>
        <v>0</v>
      </c>
      <c r="T42" s="246">
        <f t="shared" si="20"/>
        <v>0</v>
      </c>
      <c r="U42" s="246">
        <f t="shared" si="20"/>
        <v>0</v>
      </c>
      <c r="V42" s="246">
        <f t="shared" si="20"/>
        <v>0</v>
      </c>
      <c r="W42" s="246">
        <f t="shared" si="20"/>
        <v>0</v>
      </c>
      <c r="X42" s="246" t="str">
        <f t="shared" si="21"/>
        <v>--</v>
      </c>
      <c r="Y42" s="246">
        <f t="shared" si="22"/>
        <v>0</v>
      </c>
      <c r="Z42" s="182" t="str">
        <f t="shared" si="22"/>
        <v/>
      </c>
      <c r="AA42" s="256"/>
      <c r="AB42" s="256"/>
      <c r="AC42" s="256"/>
      <c r="AD42" s="256"/>
      <c r="AE42" s="256"/>
      <c r="AF42" s="256"/>
      <c r="AG42" s="256"/>
      <c r="AH42" s="256"/>
      <c r="AI42" s="256"/>
      <c r="AJ42" s="256"/>
      <c r="AK42" s="256"/>
      <c r="AL42" s="256"/>
      <c r="AM42" s="256"/>
      <c r="AN42" s="256"/>
      <c r="AO42" s="256"/>
      <c r="AP42" s="256"/>
      <c r="AQ42" s="256"/>
      <c r="AR42" s="256"/>
    </row>
    <row r="43" spans="1:44" s="183" customFormat="1" ht="12.75" customHeight="1" x14ac:dyDescent="0.2">
      <c r="A43" s="174"/>
      <c r="B43" s="274" t="s">
        <v>133</v>
      </c>
      <c r="C43" s="242"/>
      <c r="D43" s="185">
        <v>0</v>
      </c>
      <c r="E43" s="74"/>
      <c r="F43" s="74"/>
      <c r="G43" s="185">
        <v>0</v>
      </c>
      <c r="H43" s="186">
        <v>0</v>
      </c>
      <c r="I43" s="187">
        <f>FACTORS!$C$42*D43/453.592</f>
        <v>0</v>
      </c>
      <c r="J43" s="192">
        <f>FACTORS!$D$42*D43/453.592</f>
        <v>0</v>
      </c>
      <c r="K43" s="189">
        <f>FACTORS!$E$42*D43/453.592</f>
        <v>0</v>
      </c>
      <c r="L43" s="192">
        <f>FACTORS!$F$42*D43/453.592</f>
        <v>0</v>
      </c>
      <c r="M43" s="192">
        <f>FACTORS!$G$42*D43/453.592</f>
        <v>0</v>
      </c>
      <c r="N43" s="188">
        <f>FACTORS!$H$42*D43/453.592</f>
        <v>0</v>
      </c>
      <c r="O43" s="192">
        <f>IFERROR(FACTORS!$I$42*D43/453.592, "--")</f>
        <v>0</v>
      </c>
      <c r="P43" s="192">
        <f>FACTORS!$J$42*D43/453.592</f>
        <v>0</v>
      </c>
      <c r="Q43" s="193">
        <f>FACTORS!$K$42*D43/453.592</f>
        <v>0</v>
      </c>
      <c r="R43" s="187">
        <f>IFERROR((I43*$G43*$H43)/2000, "")</f>
        <v>0</v>
      </c>
      <c r="S43" s="192">
        <f>IFERROR((J43*$G43*$H43)/2000, "")</f>
        <v>0</v>
      </c>
      <c r="T43" s="189">
        <f>IFERROR((K43*$G43*$H43)/2000, "")</f>
        <v>0</v>
      </c>
      <c r="U43" s="189">
        <f t="shared" si="20"/>
        <v>0</v>
      </c>
      <c r="V43" s="189">
        <f t="shared" si="20"/>
        <v>0</v>
      </c>
      <c r="W43" s="189">
        <f t="shared" si="20"/>
        <v>0</v>
      </c>
      <c r="X43" s="189">
        <f t="shared" si="21"/>
        <v>0</v>
      </c>
      <c r="Y43" s="189">
        <f t="shared" si="22"/>
        <v>0</v>
      </c>
      <c r="Z43" s="190">
        <f t="shared" si="22"/>
        <v>0</v>
      </c>
      <c r="AA43" s="256"/>
      <c r="AB43" s="256"/>
      <c r="AC43" s="256"/>
      <c r="AD43" s="256"/>
      <c r="AE43" s="256"/>
      <c r="AF43" s="256"/>
      <c r="AG43" s="256"/>
      <c r="AH43" s="256"/>
      <c r="AI43" s="256"/>
      <c r="AJ43" s="256"/>
      <c r="AK43" s="256"/>
      <c r="AL43" s="256"/>
      <c r="AM43" s="256"/>
      <c r="AN43" s="256"/>
      <c r="AO43" s="256"/>
      <c r="AP43" s="256"/>
      <c r="AQ43" s="256"/>
      <c r="AR43" s="256"/>
    </row>
    <row r="44" spans="1:44" s="247" customFormat="1" ht="12.75" customHeight="1" x14ac:dyDescent="0.2">
      <c r="A44" s="286">
        <f>A23</f>
        <v>2026</v>
      </c>
      <c r="B44" s="287" t="s">
        <v>124</v>
      </c>
      <c r="C44" s="431"/>
      <c r="D44" s="281"/>
      <c r="E44" s="281"/>
      <c r="F44" s="282"/>
      <c r="G44" s="281"/>
      <c r="H44" s="283"/>
      <c r="I44" s="380">
        <f t="shared" ref="I44:Z44" si="24">SUM(I26:I43)</f>
        <v>0</v>
      </c>
      <c r="J44" s="428">
        <f t="shared" si="24"/>
        <v>0</v>
      </c>
      <c r="K44" s="429">
        <f t="shared" si="24"/>
        <v>0</v>
      </c>
      <c r="L44" s="284">
        <f t="shared" si="24"/>
        <v>0</v>
      </c>
      <c r="M44" s="284">
        <f t="shared" si="24"/>
        <v>0</v>
      </c>
      <c r="N44" s="284">
        <f t="shared" si="24"/>
        <v>0</v>
      </c>
      <c r="O44" s="284">
        <f t="shared" si="24"/>
        <v>0</v>
      </c>
      <c r="P44" s="284">
        <f t="shared" si="24"/>
        <v>0</v>
      </c>
      <c r="Q44" s="290">
        <f t="shared" si="24"/>
        <v>0</v>
      </c>
      <c r="R44" s="383">
        <f t="shared" si="24"/>
        <v>0</v>
      </c>
      <c r="S44" s="291">
        <f t="shared" si="24"/>
        <v>0</v>
      </c>
      <c r="T44" s="430">
        <f t="shared" si="24"/>
        <v>0</v>
      </c>
      <c r="U44" s="291">
        <f t="shared" si="24"/>
        <v>0</v>
      </c>
      <c r="V44" s="291">
        <f t="shared" si="24"/>
        <v>0</v>
      </c>
      <c r="W44" s="291">
        <f t="shared" si="24"/>
        <v>0</v>
      </c>
      <c r="X44" s="291">
        <f t="shared" si="24"/>
        <v>0</v>
      </c>
      <c r="Y44" s="291">
        <f t="shared" si="24"/>
        <v>0</v>
      </c>
      <c r="Z44" s="292">
        <f t="shared" si="24"/>
        <v>0</v>
      </c>
      <c r="AA44" s="256"/>
      <c r="AB44" s="256"/>
      <c r="AC44" s="256"/>
      <c r="AD44" s="256"/>
      <c r="AE44" s="256"/>
      <c r="AF44" s="256"/>
      <c r="AG44" s="256"/>
      <c r="AH44" s="256"/>
      <c r="AI44" s="256"/>
      <c r="AJ44" s="256"/>
      <c r="AK44" s="256"/>
      <c r="AL44" s="256"/>
      <c r="AM44" s="256"/>
      <c r="AN44" s="256"/>
      <c r="AO44" s="256"/>
      <c r="AP44" s="256"/>
      <c r="AQ44" s="256"/>
      <c r="AR44" s="256"/>
    </row>
    <row r="45" spans="1:44" ht="12.75" customHeight="1" x14ac:dyDescent="0.2">
      <c r="A45" s="77"/>
      <c r="B45" s="13"/>
      <c r="C45" s="13"/>
    </row>
    <row r="46" spans="1:44" ht="12.75" customHeight="1" x14ac:dyDescent="0.2">
      <c r="A46" s="77"/>
      <c r="B46" s="13"/>
      <c r="C46" s="13"/>
    </row>
    <row r="47" spans="1:44" ht="12.75" customHeight="1" x14ac:dyDescent="0.2">
      <c r="A47" s="77"/>
      <c r="B47" s="13"/>
      <c r="C47" s="13"/>
    </row>
    <row r="48" spans="1:44" ht="12.75" customHeight="1" x14ac:dyDescent="0.2">
      <c r="A48" s="2"/>
      <c r="B48" s="2"/>
      <c r="C48" s="2"/>
      <c r="D48" s="2"/>
      <c r="E48" s="2"/>
      <c r="F48" s="2"/>
      <c r="G48" s="2"/>
      <c r="H48" s="2"/>
      <c r="I48" s="2"/>
      <c r="J48" s="2"/>
      <c r="K48" s="2"/>
      <c r="L48" s="2"/>
      <c r="M48" s="2"/>
      <c r="N48" s="2"/>
      <c r="O48" s="2"/>
      <c r="P48" s="2"/>
      <c r="Q48" s="2"/>
      <c r="R48" s="2"/>
      <c r="S48" s="2"/>
      <c r="T48" s="2"/>
      <c r="U48" s="2"/>
      <c r="V48" s="2"/>
      <c r="W48" s="2"/>
      <c r="X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0"/>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16"/>
      <c r="Z52" s="20"/>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16"/>
      <c r="Z53" s="20"/>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16"/>
      <c r="Z54" s="19"/>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17"/>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13"/>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13"/>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13"/>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13"/>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13"/>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13"/>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13"/>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13"/>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13"/>
    </row>
    <row r="65" spans="1:25"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13"/>
    </row>
    <row r="66" spans="1:25"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13"/>
    </row>
    <row r="67" spans="1:25"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13"/>
    </row>
    <row r="68" spans="1:25"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13"/>
    </row>
    <row r="69" spans="1:25"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13"/>
    </row>
    <row r="70" spans="1:25"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13"/>
    </row>
    <row r="71" spans="1:25"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13"/>
    </row>
    <row r="72" spans="1:25"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18"/>
    </row>
    <row r="73" spans="1:25"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18"/>
    </row>
    <row r="74" spans="1:25"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18"/>
    </row>
    <row r="75" spans="1:25"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18"/>
    </row>
    <row r="76" spans="1:25"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13"/>
    </row>
    <row r="77" spans="1:25"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13"/>
    </row>
    <row r="78" spans="1:25"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13"/>
    </row>
    <row r="79" spans="1:25"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13"/>
    </row>
    <row r="80" spans="1:25"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13"/>
    </row>
    <row r="81" spans="1:25"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13"/>
    </row>
    <row r="82" spans="1:25"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row>
    <row r="83" spans="1:25"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row>
    <row r="84" spans="1:25"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row>
    <row r="85" spans="1:25"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row>
    <row r="86" spans="1:25"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row>
    <row r="87" spans="1:25"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row>
    <row r="88" spans="1:25"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row>
    <row r="89" spans="1:25"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row>
    <row r="90" spans="1:25"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row>
    <row r="91" spans="1:25"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row>
    <row r="92" spans="1:25"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row>
    <row r="93" spans="1:25"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row>
    <row r="94" spans="1:25"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row>
    <row r="95" spans="1:25"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row>
    <row r="96" spans="1:25"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row>
    <row r="97" spans="1:25"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row>
    <row r="98" spans="1:25"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row>
    <row r="99" spans="1:25"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row>
    <row r="100" spans="1:25"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18"/>
    </row>
    <row r="121" spans="1:25"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13"/>
    </row>
    <row r="122" spans="1:25"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13"/>
    </row>
    <row r="123" spans="1:25"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13"/>
    </row>
    <row r="124" spans="1:25"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13"/>
    </row>
    <row r="125" spans="1:25"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13"/>
    </row>
    <row r="126" spans="1:25"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13"/>
    </row>
    <row r="127" spans="1:25"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13"/>
    </row>
    <row r="128" spans="1:25" ht="12.75" customHeight="1" x14ac:dyDescent="0.2">
      <c r="Y128" s="13"/>
    </row>
    <row r="129" spans="25:26" ht="12.75" customHeight="1" x14ac:dyDescent="0.2">
      <c r="Y129" s="18"/>
      <c r="Z129" s="19"/>
    </row>
    <row r="130" spans="25:26" ht="12.75" customHeight="1" x14ac:dyDescent="0.2">
      <c r="Y130" s="21"/>
    </row>
    <row r="131" spans="25:26" ht="12.75" customHeight="1" x14ac:dyDescent="0.2">
      <c r="Y131" s="18"/>
    </row>
    <row r="132" spans="25:26" ht="12.75" customHeight="1" x14ac:dyDescent="0.2">
      <c r="Y132" s="13"/>
      <c r="Z132" s="19"/>
    </row>
    <row r="133" spans="25:26" ht="12.75" customHeight="1" x14ac:dyDescent="0.2">
      <c r="Y133" s="22"/>
    </row>
    <row r="141" spans="25:26" ht="12.75" customHeight="1" x14ac:dyDescent="0.2">
      <c r="Z141" s="20"/>
    </row>
    <row r="142" spans="25:26" ht="12.75" customHeight="1" x14ac:dyDescent="0.2">
      <c r="Y142" s="16"/>
      <c r="Z142" s="20"/>
    </row>
    <row r="143" spans="25:26" ht="12.75" customHeight="1" x14ac:dyDescent="0.2">
      <c r="Y143" s="16"/>
      <c r="Z143" s="20"/>
    </row>
    <row r="144" spans="25:26" ht="12.75" customHeight="1" x14ac:dyDescent="0.2">
      <c r="Y144" s="16"/>
      <c r="Z144" s="19"/>
    </row>
    <row r="145" spans="25:25" ht="12.75" customHeight="1" x14ac:dyDescent="0.2">
      <c r="Y145" s="17"/>
    </row>
    <row r="146" spans="25:25" ht="12.75" customHeight="1" x14ac:dyDescent="0.2">
      <c r="Y146" s="13"/>
    </row>
    <row r="147" spans="25:25" ht="12.75" customHeight="1" x14ac:dyDescent="0.2">
      <c r="Y147" s="13"/>
    </row>
    <row r="148" spans="25:25" ht="12.75" customHeight="1" x14ac:dyDescent="0.2">
      <c r="Y148" s="13"/>
    </row>
    <row r="149" spans="25:25" ht="12.75" customHeight="1" x14ac:dyDescent="0.2">
      <c r="Y149" s="13"/>
    </row>
    <row r="150" spans="25:25" ht="12.75" customHeight="1" x14ac:dyDescent="0.2">
      <c r="Y150" s="13"/>
    </row>
    <row r="151" spans="25:25" ht="12.75" customHeight="1" x14ac:dyDescent="0.2">
      <c r="Y151" s="13"/>
    </row>
    <row r="152" spans="25:25" ht="12.75" customHeight="1" x14ac:dyDescent="0.2">
      <c r="Y152" s="13"/>
    </row>
    <row r="153" spans="25:25" ht="12.75" customHeight="1" x14ac:dyDescent="0.2">
      <c r="Y153" s="13"/>
    </row>
    <row r="154" spans="25:25" ht="12.75" customHeight="1" x14ac:dyDescent="0.2">
      <c r="Y154" s="13"/>
    </row>
    <row r="155" spans="25:25" ht="12.75" customHeight="1" x14ac:dyDescent="0.2">
      <c r="Y155" s="13"/>
    </row>
    <row r="156" spans="25:25" ht="12.75" customHeight="1" x14ac:dyDescent="0.2">
      <c r="Y156" s="13"/>
    </row>
    <row r="157" spans="25:25" ht="12.75" customHeight="1" x14ac:dyDescent="0.2">
      <c r="Y157" s="13"/>
    </row>
    <row r="158" spans="25:25" ht="12.75" customHeight="1" x14ac:dyDescent="0.2">
      <c r="Y158" s="13"/>
    </row>
    <row r="159" spans="25:25" ht="12.75" customHeight="1" x14ac:dyDescent="0.2">
      <c r="Y159" s="13"/>
    </row>
    <row r="160" spans="25:25" ht="12.75" customHeight="1" x14ac:dyDescent="0.2">
      <c r="Y160" s="13"/>
    </row>
    <row r="161" spans="25:26" ht="12.75" customHeight="1" x14ac:dyDescent="0.2">
      <c r="Y161" s="13"/>
    </row>
    <row r="162" spans="25:26" ht="12.75" customHeight="1" x14ac:dyDescent="0.2">
      <c r="Y162" s="18"/>
    </row>
    <row r="163" spans="25:26" ht="12.75" customHeight="1" x14ac:dyDescent="0.2">
      <c r="Y163" s="18"/>
    </row>
    <row r="164" spans="25:26" ht="12.75" customHeight="1" x14ac:dyDescent="0.2">
      <c r="Y164" s="18"/>
    </row>
    <row r="165" spans="25:26" ht="12.75" customHeight="1" x14ac:dyDescent="0.2">
      <c r="Y165" s="18"/>
    </row>
    <row r="166" spans="25:26" ht="12.75" customHeight="1" x14ac:dyDescent="0.2">
      <c r="Y166" s="13"/>
    </row>
    <row r="167" spans="25:26" ht="12.75" customHeight="1" x14ac:dyDescent="0.2">
      <c r="Y167" s="13"/>
    </row>
    <row r="168" spans="25:26" ht="12.75" customHeight="1" x14ac:dyDescent="0.2">
      <c r="Y168" s="13"/>
    </row>
    <row r="169" spans="25:26" ht="12.75" customHeight="1" x14ac:dyDescent="0.2">
      <c r="Y169" s="13"/>
    </row>
    <row r="170" spans="25:26" ht="12.75" customHeight="1" x14ac:dyDescent="0.2">
      <c r="Y170" s="13"/>
    </row>
    <row r="171" spans="25:26" ht="12.75" customHeight="1" x14ac:dyDescent="0.2">
      <c r="Y171" s="13"/>
    </row>
    <row r="172" spans="25:26" ht="12.75" customHeight="1" x14ac:dyDescent="0.2">
      <c r="Y172" s="13"/>
    </row>
    <row r="173" spans="25:26" ht="12.75" customHeight="1" x14ac:dyDescent="0.2">
      <c r="Y173" s="13"/>
    </row>
    <row r="174" spans="25:26" ht="12.75" customHeight="1" x14ac:dyDescent="0.2">
      <c r="Y174" s="18"/>
      <c r="Z174" s="19"/>
    </row>
    <row r="175" spans="25:26" ht="12.75" customHeight="1" x14ac:dyDescent="0.2">
      <c r="Y175" s="21"/>
    </row>
    <row r="176" spans="25:26" ht="12.75" customHeight="1" x14ac:dyDescent="0.2">
      <c r="Y176" s="18"/>
    </row>
    <row r="177" spans="25:26" ht="12.75" customHeight="1" x14ac:dyDescent="0.2">
      <c r="Y177" s="13"/>
      <c r="Z177" s="19"/>
    </row>
    <row r="178" spans="25:26" ht="12.75" customHeight="1" x14ac:dyDescent="0.2">
      <c r="Y178" s="22"/>
    </row>
  </sheetData>
  <mergeCells count="3">
    <mergeCell ref="L2:M2"/>
    <mergeCell ref="N2:O2"/>
    <mergeCell ref="P2:Z2"/>
  </mergeCells>
  <printOptions horizontalCentered="1"/>
  <pageMargins left="0.25" right="0.25" top="1" bottom="0.5" header="0.5" footer="0.5"/>
  <pageSetup paperSize="5" scale="19" orientation="portrait" horizontalDpi="300" verticalDpi="300" r:id="rId1"/>
  <headerFooter alignWithMargins="0">
    <oddHeader>&amp;C&amp;"MS Sans Serif,Bold"AIR EMISSIONS CALCULATIONS - 7TH YEAR</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411A60B57CFE4DAA3DA3F99CF9C646" ma:contentTypeVersion="10" ma:contentTypeDescription="Create a new document." ma:contentTypeScope="" ma:versionID="d0d27314bf8f08f89b85505d7bbe5af5">
  <xsd:schema xmlns:xsd="http://www.w3.org/2001/XMLSchema" xmlns:xs="http://www.w3.org/2001/XMLSchema" xmlns:p="http://schemas.microsoft.com/office/2006/metadata/properties" xmlns:ns3="0d9d59b5-c600-45b0-b87b-85cafa43f80c" xmlns:ns4="6ac37530-33e7-49a8-8adb-33ff3c8e7cc4" targetNamespace="http://schemas.microsoft.com/office/2006/metadata/properties" ma:root="true" ma:fieldsID="8aa6bda6c6b0f70a782ad594023e2344" ns3:_="" ns4:_="">
    <xsd:import namespace="0d9d59b5-c600-45b0-b87b-85cafa43f80c"/>
    <xsd:import namespace="6ac37530-33e7-49a8-8adb-33ff3c8e7cc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9d59b5-c600-45b0-b87b-85cafa43f8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c37530-33e7-49a8-8adb-33ff3c8e7cc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83E8E3-5CA3-4691-B9D7-1444DD4F01EA}">
  <ds:schemaRefs>
    <ds:schemaRef ds:uri="http://schemas.microsoft.com/sharepoint/v3/contenttype/forms"/>
  </ds:schemaRefs>
</ds:datastoreItem>
</file>

<file path=customXml/itemProps2.xml><?xml version="1.0" encoding="utf-8"?>
<ds:datastoreItem xmlns:ds="http://schemas.openxmlformats.org/officeDocument/2006/customXml" ds:itemID="{93C502FC-9F2B-4E3B-BEFE-5BFCCF362210}">
  <ds:schemaRefs>
    <ds:schemaRef ds:uri="http://purl.org/dc/dcmitype/"/>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6ac37530-33e7-49a8-8adb-33ff3c8e7cc4"/>
    <ds:schemaRef ds:uri="0d9d59b5-c600-45b0-b87b-85cafa43f80c"/>
    <ds:schemaRef ds:uri="http://schemas.microsoft.com/office/2006/metadata/properties"/>
  </ds:schemaRefs>
</ds:datastoreItem>
</file>

<file path=customXml/itemProps3.xml><?xml version="1.0" encoding="utf-8"?>
<ds:datastoreItem xmlns:ds="http://schemas.openxmlformats.org/officeDocument/2006/customXml" ds:itemID="{59C266FC-3416-4334-B3CD-9F62E053D7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9d59b5-c600-45b0-b87b-85cafa43f80c"/>
    <ds:schemaRef ds:uri="6ac37530-33e7-49a8-8adb-33ff3c8e7c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TITLE</vt:lpstr>
      <vt:lpstr>FACTORS</vt:lpstr>
      <vt:lpstr>EMISSIONS1</vt:lpstr>
      <vt:lpstr>EMISSIONS2</vt:lpstr>
      <vt:lpstr>EMISSIONS3</vt:lpstr>
      <vt:lpstr>EMISSIONS4</vt:lpstr>
      <vt:lpstr>EMISSIONS5</vt:lpstr>
      <vt:lpstr>EMISSIONS6</vt:lpstr>
      <vt:lpstr>EMISSIONS7</vt:lpstr>
      <vt:lpstr>EMISSIONS8</vt:lpstr>
      <vt:lpstr>EMISSIONS9</vt:lpstr>
      <vt:lpstr>EMISSIONS10</vt:lpstr>
      <vt:lpstr>SUMMARY</vt:lpstr>
      <vt:lpstr>EMISSIONS1!Print_Area</vt:lpstr>
      <vt:lpstr>EMISSIONS10!Print_Area</vt:lpstr>
      <vt:lpstr>EMISSIONS2!Print_Area</vt:lpstr>
      <vt:lpstr>EMISSIONS3!Print_Area</vt:lpstr>
      <vt:lpstr>EMISSIONS4!Print_Area</vt:lpstr>
      <vt:lpstr>EMISSIONS5!Print_Area</vt:lpstr>
      <vt:lpstr>EMISSIONS6!Print_Area</vt:lpstr>
      <vt:lpstr>EMISSIONS7!Print_Area</vt:lpstr>
      <vt:lpstr>EMISSIONS8!Print_Area</vt:lpstr>
      <vt:lpstr>EMISSIONS9!Print_Area</vt:lpstr>
      <vt:lpstr>FACTORS!Print_Area</vt:lpstr>
      <vt:lpstr>SUMMARY!Print_Area</vt:lpstr>
      <vt:lpstr>TITLE!Print_Area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Mason, Nicole K</dc:creator>
  <cp:lastModifiedBy>AA</cp:lastModifiedBy>
  <cp:lastPrinted>2020-07-02T20:23:13Z</cp:lastPrinted>
  <dcterms:created xsi:type="dcterms:W3CDTF">2000-03-22T16:03:22Z</dcterms:created>
  <dcterms:modified xsi:type="dcterms:W3CDTF">2024-12-02T18:40:49Z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0x01010014411A60B57CFE4DAA3DA3F99CF9C646</vt:lpwstr>
  </property>
</Properties>
</file>